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nDials\"/>
    </mc:Choice>
  </mc:AlternateContent>
  <xr:revisionPtr revIDLastSave="0" documentId="13_ncr:1_{821FAD5B-D586-4DD6-99E0-07BBDA1EA6ED}" xr6:coauthVersionLast="34" xr6:coauthVersionMax="34" xr10:uidLastSave="{00000000-0000-0000-0000-000000000000}"/>
  <bookViews>
    <workbookView xWindow="120" yWindow="30" windowWidth="24915" windowHeight="12330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Z66" i="1" l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X66" i="1" l="1"/>
  <c r="X65" i="1"/>
  <c r="Y65" i="1" s="1"/>
  <c r="X64" i="1"/>
  <c r="X63" i="1"/>
  <c r="Y63" i="1" s="1"/>
  <c r="X62" i="1"/>
  <c r="X61" i="1"/>
  <c r="Y61" i="1" s="1"/>
  <c r="X60" i="1"/>
  <c r="X59" i="1"/>
  <c r="Y59" i="1" s="1"/>
  <c r="X58" i="1"/>
  <c r="X57" i="1"/>
  <c r="Y57" i="1" s="1"/>
  <c r="X56" i="1"/>
  <c r="X55" i="1"/>
  <c r="Y55" i="1" s="1"/>
  <c r="X54" i="1"/>
  <c r="X53" i="1"/>
  <c r="Y53" i="1" s="1"/>
  <c r="X52" i="1"/>
  <c r="X51" i="1"/>
  <c r="Y51" i="1" s="1"/>
  <c r="X50" i="1"/>
  <c r="X49" i="1"/>
  <c r="Y49" i="1" s="1"/>
  <c r="X48" i="1"/>
  <c r="X47" i="1"/>
  <c r="Y47" i="1" s="1"/>
  <c r="X46" i="1"/>
  <c r="X45" i="1"/>
  <c r="Y45" i="1" s="1"/>
  <c r="X44" i="1"/>
  <c r="X43" i="1"/>
  <c r="Y43" i="1" s="1"/>
  <c r="X42" i="1"/>
  <c r="X40" i="1"/>
  <c r="Y40" i="1" s="1"/>
  <c r="X41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T46" i="1" s="1"/>
  <c r="S45" i="1"/>
  <c r="S44" i="1"/>
  <c r="S43" i="1"/>
  <c r="S42" i="1"/>
  <c r="T42" i="1" s="1"/>
  <c r="S41" i="1"/>
  <c r="S40" i="1"/>
  <c r="C8" i="1"/>
  <c r="F8" i="1" s="1"/>
  <c r="T55" i="1" l="1"/>
  <c r="T47" i="1"/>
  <c r="T63" i="1"/>
  <c r="Y56" i="1"/>
  <c r="T43" i="1"/>
  <c r="T51" i="1"/>
  <c r="T59" i="1"/>
  <c r="Y48" i="1"/>
  <c r="Y64" i="1"/>
  <c r="T45" i="1"/>
  <c r="T49" i="1"/>
  <c r="T53" i="1"/>
  <c r="T57" i="1"/>
  <c r="T61" i="1"/>
  <c r="T65" i="1"/>
  <c r="T40" i="1"/>
  <c r="Y44" i="1"/>
  <c r="Y52" i="1"/>
  <c r="Y60" i="1"/>
  <c r="T41" i="1"/>
  <c r="Y42" i="1"/>
  <c r="Y46" i="1"/>
  <c r="Y50" i="1"/>
  <c r="Y54" i="1"/>
  <c r="Y58" i="1"/>
  <c r="Y62" i="1"/>
  <c r="Y66" i="1"/>
  <c r="Y41" i="1"/>
  <c r="T44" i="1"/>
  <c r="T48" i="1"/>
  <c r="T50" i="1"/>
  <c r="T52" i="1"/>
  <c r="T54" i="1"/>
  <c r="T56" i="1"/>
  <c r="T58" i="1"/>
  <c r="T60" i="1"/>
  <c r="T62" i="1"/>
  <c r="T64" i="1"/>
  <c r="T66" i="1"/>
  <c r="L97" i="1" l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A1" i="1"/>
  <c r="F97" i="1"/>
  <c r="G97" i="1" s="1"/>
  <c r="E97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K97" i="1"/>
  <c r="D70" i="1" l="1"/>
  <c r="F70" i="1" s="1"/>
  <c r="D71" i="1"/>
  <c r="E71" i="1" s="1"/>
  <c r="D72" i="1"/>
  <c r="F72" i="1" s="1"/>
  <c r="D73" i="1"/>
  <c r="E73" i="1" s="1"/>
  <c r="D74" i="1"/>
  <c r="F74" i="1" s="1"/>
  <c r="D75" i="1"/>
  <c r="E75" i="1" s="1"/>
  <c r="D76" i="1"/>
  <c r="F76" i="1" s="1"/>
  <c r="D77" i="1"/>
  <c r="E77" i="1" s="1"/>
  <c r="D78" i="1"/>
  <c r="F78" i="1" s="1"/>
  <c r="D79" i="1"/>
  <c r="E79" i="1" s="1"/>
  <c r="D80" i="1"/>
  <c r="F80" i="1" s="1"/>
  <c r="D81" i="1"/>
  <c r="E81" i="1" s="1"/>
  <c r="D82" i="1"/>
  <c r="F82" i="1" s="1"/>
  <c r="D83" i="1"/>
  <c r="E83" i="1" s="1"/>
  <c r="D84" i="1"/>
  <c r="F84" i="1" s="1"/>
  <c r="D85" i="1"/>
  <c r="E85" i="1" s="1"/>
  <c r="D86" i="1"/>
  <c r="E86" i="1" s="1"/>
  <c r="D87" i="1"/>
  <c r="E87" i="1" s="1"/>
  <c r="D88" i="1"/>
  <c r="F88" i="1" s="1"/>
  <c r="D89" i="1"/>
  <c r="E89" i="1" s="1"/>
  <c r="D90" i="1"/>
  <c r="E90" i="1" s="1"/>
  <c r="D91" i="1"/>
  <c r="E91" i="1" s="1"/>
  <c r="D92" i="1"/>
  <c r="F92" i="1" s="1"/>
  <c r="D93" i="1"/>
  <c r="E93" i="1" s="1"/>
  <c r="D94" i="1"/>
  <c r="E94" i="1" s="1"/>
  <c r="D95" i="1"/>
  <c r="E95" i="1" s="1"/>
  <c r="D96" i="1"/>
  <c r="F96" i="1" s="1"/>
  <c r="D40" i="1"/>
  <c r="F40" i="1" s="1"/>
  <c r="G40" i="1" s="1"/>
  <c r="D41" i="1"/>
  <c r="F41" i="1" s="1"/>
  <c r="G41" i="1" s="1"/>
  <c r="H41" i="1" s="1"/>
  <c r="I41" i="1" s="1"/>
  <c r="K41" i="1" s="1"/>
  <c r="D44" i="1"/>
  <c r="F44" i="1" s="1"/>
  <c r="D45" i="1"/>
  <c r="F45" i="1" s="1"/>
  <c r="G45" i="1" s="1"/>
  <c r="H45" i="1" s="1"/>
  <c r="I45" i="1" s="1"/>
  <c r="K45" i="1" s="1"/>
  <c r="D48" i="1"/>
  <c r="F48" i="1" s="1"/>
  <c r="D49" i="1"/>
  <c r="F49" i="1" s="1"/>
  <c r="G49" i="1" s="1"/>
  <c r="H49" i="1" s="1"/>
  <c r="I49" i="1" s="1"/>
  <c r="K49" i="1" s="1"/>
  <c r="D52" i="1"/>
  <c r="F52" i="1" s="1"/>
  <c r="D53" i="1"/>
  <c r="F53" i="1" s="1"/>
  <c r="G53" i="1" s="1"/>
  <c r="H53" i="1" s="1"/>
  <c r="I53" i="1" s="1"/>
  <c r="K53" i="1" s="1"/>
  <c r="D56" i="1"/>
  <c r="F56" i="1" s="1"/>
  <c r="D57" i="1"/>
  <c r="F57" i="1" s="1"/>
  <c r="G57" i="1" s="1"/>
  <c r="H57" i="1" s="1"/>
  <c r="I57" i="1" s="1"/>
  <c r="K57" i="1" s="1"/>
  <c r="D60" i="1"/>
  <c r="F60" i="1" s="1"/>
  <c r="D61" i="1"/>
  <c r="F61" i="1" s="1"/>
  <c r="D64" i="1"/>
  <c r="F64" i="1" s="1"/>
  <c r="D65" i="1"/>
  <c r="F65" i="1" s="1"/>
  <c r="G65" i="1" s="1"/>
  <c r="H65" i="1" s="1"/>
  <c r="I65" i="1" s="1"/>
  <c r="K65" i="1" s="1"/>
  <c r="D68" i="1"/>
  <c r="F68" i="1" s="1"/>
  <c r="D69" i="1"/>
  <c r="E69" i="1" s="1"/>
  <c r="D42" i="1"/>
  <c r="E42" i="1" s="1"/>
  <c r="D43" i="1"/>
  <c r="D46" i="1"/>
  <c r="F46" i="1" s="1"/>
  <c r="D47" i="1"/>
  <c r="D50" i="1"/>
  <c r="E50" i="1" s="1"/>
  <c r="D51" i="1"/>
  <c r="D54" i="1"/>
  <c r="F54" i="1" s="1"/>
  <c r="D55" i="1"/>
  <c r="D58" i="1"/>
  <c r="E58" i="1" s="1"/>
  <c r="D59" i="1"/>
  <c r="D62" i="1"/>
  <c r="F62" i="1" s="1"/>
  <c r="D63" i="1"/>
  <c r="D66" i="1"/>
  <c r="E66" i="1" s="1"/>
  <c r="D67" i="1"/>
  <c r="F69" i="1"/>
  <c r="G69" i="1" s="1"/>
  <c r="H69" i="1" s="1"/>
  <c r="I69" i="1" s="1"/>
  <c r="K69" i="1" s="1"/>
  <c r="H97" i="1"/>
  <c r="E72" i="1"/>
  <c r="E88" i="1"/>
  <c r="F42" i="1"/>
  <c r="F58" i="1"/>
  <c r="E78" i="1"/>
  <c r="F81" i="1"/>
  <c r="F86" i="1"/>
  <c r="E44" i="1"/>
  <c r="F85" i="1"/>
  <c r="G61" i="1"/>
  <c r="H61" i="1" s="1"/>
  <c r="I61" i="1" s="1"/>
  <c r="K61" i="1" s="1"/>
  <c r="F75" i="1"/>
  <c r="F91" i="1"/>
  <c r="D8" i="1"/>
  <c r="E8" i="1" s="1"/>
  <c r="G8" i="1"/>
  <c r="H8" i="1" s="1"/>
  <c r="F83" i="1" l="1"/>
  <c r="E60" i="1"/>
  <c r="F50" i="1"/>
  <c r="E74" i="1"/>
  <c r="F66" i="1"/>
  <c r="E96" i="1"/>
  <c r="E80" i="1"/>
  <c r="E53" i="1"/>
  <c r="F90" i="1"/>
  <c r="E82" i="1"/>
  <c r="F94" i="1"/>
  <c r="G94" i="1" s="1"/>
  <c r="H94" i="1" s="1"/>
  <c r="I94" i="1" s="1"/>
  <c r="K94" i="1" s="1"/>
  <c r="E70" i="1"/>
  <c r="E92" i="1"/>
  <c r="E84" i="1"/>
  <c r="E76" i="1"/>
  <c r="E61" i="1"/>
  <c r="E45" i="1"/>
  <c r="E65" i="1"/>
  <c r="E57" i="1"/>
  <c r="E49" i="1"/>
  <c r="E41" i="1"/>
  <c r="F95" i="1"/>
  <c r="G95" i="1" s="1"/>
  <c r="H95" i="1" s="1"/>
  <c r="I95" i="1" s="1"/>
  <c r="K95" i="1" s="1"/>
  <c r="F87" i="1"/>
  <c r="F79" i="1"/>
  <c r="G79" i="1" s="1"/>
  <c r="H79" i="1" s="1"/>
  <c r="I79" i="1" s="1"/>
  <c r="K79" i="1" s="1"/>
  <c r="F71" i="1"/>
  <c r="G71" i="1" s="1"/>
  <c r="H71" i="1" s="1"/>
  <c r="I71" i="1" s="1"/>
  <c r="K71" i="1" s="1"/>
  <c r="F93" i="1"/>
  <c r="G93" i="1" s="1"/>
  <c r="H93" i="1" s="1"/>
  <c r="I93" i="1" s="1"/>
  <c r="K93" i="1" s="1"/>
  <c r="F77" i="1"/>
  <c r="G77" i="1" s="1"/>
  <c r="H77" i="1" s="1"/>
  <c r="I77" i="1" s="1"/>
  <c r="K77" i="1" s="1"/>
  <c r="E68" i="1"/>
  <c r="E52" i="1"/>
  <c r="F89" i="1"/>
  <c r="G89" i="1" s="1"/>
  <c r="H89" i="1" s="1"/>
  <c r="I89" i="1" s="1"/>
  <c r="K89" i="1" s="1"/>
  <c r="F73" i="1"/>
  <c r="G73" i="1" s="1"/>
  <c r="H73" i="1" s="1"/>
  <c r="I73" i="1" s="1"/>
  <c r="K73" i="1" s="1"/>
  <c r="E64" i="1"/>
  <c r="E56" i="1"/>
  <c r="E48" i="1"/>
  <c r="E40" i="1"/>
  <c r="E54" i="1"/>
  <c r="E62" i="1"/>
  <c r="E46" i="1"/>
  <c r="F63" i="1"/>
  <c r="E63" i="1"/>
  <c r="F55" i="1"/>
  <c r="E55" i="1"/>
  <c r="F47" i="1"/>
  <c r="E47" i="1"/>
  <c r="F67" i="1"/>
  <c r="E67" i="1"/>
  <c r="F59" i="1"/>
  <c r="E59" i="1"/>
  <c r="F51" i="1"/>
  <c r="E51" i="1"/>
  <c r="F43" i="1"/>
  <c r="E43" i="1"/>
  <c r="G87" i="1"/>
  <c r="H87" i="1" s="1"/>
  <c r="I87" i="1" s="1"/>
  <c r="K87" i="1" s="1"/>
  <c r="G90" i="1"/>
  <c r="H90" i="1" s="1"/>
  <c r="I90" i="1" s="1"/>
  <c r="K90" i="1" s="1"/>
  <c r="G85" i="1"/>
  <c r="H85" i="1" s="1"/>
  <c r="I85" i="1" s="1"/>
  <c r="K85" i="1" s="1"/>
  <c r="G74" i="1"/>
  <c r="H74" i="1" s="1"/>
  <c r="I74" i="1" s="1"/>
  <c r="K74" i="1" s="1"/>
  <c r="G78" i="1"/>
  <c r="H78" i="1" s="1"/>
  <c r="I78" i="1" s="1"/>
  <c r="K78" i="1" s="1"/>
  <c r="G66" i="1"/>
  <c r="H66" i="1" s="1"/>
  <c r="I66" i="1" s="1"/>
  <c r="K66" i="1" s="1"/>
  <c r="G62" i="1"/>
  <c r="H62" i="1" s="1"/>
  <c r="I62" i="1" s="1"/>
  <c r="K62" i="1" s="1"/>
  <c r="G58" i="1"/>
  <c r="H58" i="1" s="1"/>
  <c r="I58" i="1" s="1"/>
  <c r="K58" i="1" s="1"/>
  <c r="G54" i="1"/>
  <c r="H54" i="1" s="1"/>
  <c r="I54" i="1" s="1"/>
  <c r="K54" i="1" s="1"/>
  <c r="G50" i="1"/>
  <c r="H50" i="1" s="1"/>
  <c r="I50" i="1" s="1"/>
  <c r="K50" i="1" s="1"/>
  <c r="G46" i="1"/>
  <c r="H46" i="1" s="1"/>
  <c r="I46" i="1" s="1"/>
  <c r="K46" i="1" s="1"/>
  <c r="G42" i="1"/>
  <c r="H42" i="1" s="1"/>
  <c r="I42" i="1" s="1"/>
  <c r="K42" i="1" s="1"/>
  <c r="G91" i="1"/>
  <c r="H91" i="1" s="1"/>
  <c r="I91" i="1" s="1"/>
  <c r="K91" i="1" s="1"/>
  <c r="G83" i="1"/>
  <c r="H83" i="1" s="1"/>
  <c r="I83" i="1" s="1"/>
  <c r="K83" i="1" s="1"/>
  <c r="G75" i="1"/>
  <c r="H75" i="1" s="1"/>
  <c r="I75" i="1" s="1"/>
  <c r="K75" i="1" s="1"/>
  <c r="G82" i="1"/>
  <c r="H82" i="1" s="1"/>
  <c r="I82" i="1" s="1"/>
  <c r="K82" i="1" s="1"/>
  <c r="G68" i="1"/>
  <c r="H68" i="1" s="1"/>
  <c r="I68" i="1" s="1"/>
  <c r="K68" i="1" s="1"/>
  <c r="G64" i="1"/>
  <c r="H64" i="1" s="1"/>
  <c r="I64" i="1" s="1"/>
  <c r="K64" i="1" s="1"/>
  <c r="G60" i="1"/>
  <c r="H60" i="1" s="1"/>
  <c r="I60" i="1" s="1"/>
  <c r="K60" i="1" s="1"/>
  <c r="G56" i="1"/>
  <c r="H56" i="1" s="1"/>
  <c r="I56" i="1" s="1"/>
  <c r="K56" i="1" s="1"/>
  <c r="G52" i="1"/>
  <c r="H52" i="1" s="1"/>
  <c r="I52" i="1" s="1"/>
  <c r="K52" i="1" s="1"/>
  <c r="G48" i="1"/>
  <c r="H48" i="1" s="1"/>
  <c r="I48" i="1" s="1"/>
  <c r="K48" i="1" s="1"/>
  <c r="G44" i="1"/>
  <c r="H44" i="1" s="1"/>
  <c r="I44" i="1" s="1"/>
  <c r="K44" i="1" s="1"/>
  <c r="H40" i="1"/>
  <c r="I40" i="1" s="1"/>
  <c r="K40" i="1" s="1"/>
  <c r="G86" i="1"/>
  <c r="H86" i="1" s="1"/>
  <c r="I86" i="1" s="1"/>
  <c r="K86" i="1" s="1"/>
  <c r="G81" i="1"/>
  <c r="H81" i="1" s="1"/>
  <c r="I81" i="1" s="1"/>
  <c r="K81" i="1" s="1"/>
  <c r="G70" i="1"/>
  <c r="H70" i="1" s="1"/>
  <c r="I70" i="1" s="1"/>
  <c r="K70" i="1" s="1"/>
  <c r="G96" i="1"/>
  <c r="H96" i="1" s="1"/>
  <c r="I96" i="1" s="1"/>
  <c r="K96" i="1" s="1"/>
  <c r="G92" i="1"/>
  <c r="H92" i="1" s="1"/>
  <c r="I92" i="1" s="1"/>
  <c r="K92" i="1" s="1"/>
  <c r="G88" i="1"/>
  <c r="H88" i="1" s="1"/>
  <c r="I88" i="1" s="1"/>
  <c r="K88" i="1" s="1"/>
  <c r="G84" i="1"/>
  <c r="H84" i="1" s="1"/>
  <c r="I84" i="1" s="1"/>
  <c r="K84" i="1" s="1"/>
  <c r="G80" i="1"/>
  <c r="H80" i="1" s="1"/>
  <c r="I80" i="1" s="1"/>
  <c r="K80" i="1" s="1"/>
  <c r="G76" i="1"/>
  <c r="H76" i="1" s="1"/>
  <c r="I76" i="1" s="1"/>
  <c r="K76" i="1" s="1"/>
  <c r="G72" i="1"/>
  <c r="H72" i="1" s="1"/>
  <c r="I72" i="1" s="1"/>
  <c r="K72" i="1" s="1"/>
  <c r="B36" i="1"/>
  <c r="F36" i="1" s="1"/>
  <c r="B35" i="1"/>
  <c r="F35" i="1" s="1"/>
  <c r="G35" i="1" l="1"/>
  <c r="G36" i="1"/>
  <c r="G43" i="1"/>
  <c r="H43" i="1" s="1"/>
  <c r="I43" i="1" s="1"/>
  <c r="K43" i="1" s="1"/>
  <c r="G51" i="1"/>
  <c r="H51" i="1" s="1"/>
  <c r="I51" i="1" s="1"/>
  <c r="K51" i="1" s="1"/>
  <c r="G59" i="1"/>
  <c r="H59" i="1" s="1"/>
  <c r="I59" i="1" s="1"/>
  <c r="K59" i="1" s="1"/>
  <c r="G67" i="1"/>
  <c r="H67" i="1" s="1"/>
  <c r="I67" i="1" s="1"/>
  <c r="K67" i="1" s="1"/>
  <c r="G47" i="1"/>
  <c r="H47" i="1" s="1"/>
  <c r="I47" i="1" s="1"/>
  <c r="K47" i="1" s="1"/>
  <c r="G55" i="1"/>
  <c r="H55" i="1" s="1"/>
  <c r="I55" i="1" s="1"/>
  <c r="K55" i="1" s="1"/>
  <c r="G63" i="1"/>
  <c r="H63" i="1" s="1"/>
  <c r="I63" i="1" s="1"/>
  <c r="K63" i="1" s="1"/>
  <c r="C36" i="1"/>
  <c r="C35" i="1"/>
  <c r="D36" i="1" l="1"/>
  <c r="E36" i="1"/>
  <c r="D35" i="1"/>
  <c r="E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C10" i="1" s="1"/>
  <c r="F11" i="1" l="1"/>
  <c r="G11" i="1"/>
  <c r="G13" i="1"/>
  <c r="F13" i="1"/>
  <c r="F15" i="1"/>
  <c r="G15" i="1"/>
  <c r="F17" i="1"/>
  <c r="G17" i="1"/>
  <c r="F19" i="1"/>
  <c r="G19" i="1"/>
  <c r="G21" i="1"/>
  <c r="F21" i="1"/>
  <c r="F23" i="1"/>
  <c r="G23" i="1"/>
  <c r="F25" i="1"/>
  <c r="G25" i="1"/>
  <c r="F27" i="1"/>
  <c r="G27" i="1"/>
  <c r="G29" i="1"/>
  <c r="F29" i="1"/>
  <c r="F31" i="1"/>
  <c r="G31" i="1"/>
  <c r="F33" i="1"/>
  <c r="G33" i="1"/>
  <c r="D10" i="1"/>
  <c r="E10" i="1"/>
  <c r="F10" i="1"/>
  <c r="G10" i="1"/>
  <c r="F12" i="1"/>
  <c r="G12" i="1"/>
  <c r="F14" i="1"/>
  <c r="G14" i="1"/>
  <c r="F16" i="1"/>
  <c r="G16" i="1"/>
  <c r="F18" i="1"/>
  <c r="G18" i="1"/>
  <c r="F20" i="1"/>
  <c r="G20" i="1"/>
  <c r="F22" i="1"/>
  <c r="G22" i="1"/>
  <c r="F24" i="1"/>
  <c r="G24" i="1"/>
  <c r="F26" i="1"/>
  <c r="G26" i="1"/>
  <c r="F28" i="1"/>
  <c r="G28" i="1"/>
  <c r="F30" i="1"/>
  <c r="G30" i="1"/>
  <c r="F32" i="1"/>
  <c r="G32" i="1"/>
  <c r="F34" i="1"/>
  <c r="G34" i="1"/>
  <c r="C11" i="1"/>
  <c r="C13" i="1"/>
  <c r="C15" i="1"/>
  <c r="C17" i="1"/>
  <c r="C19" i="1"/>
  <c r="C21" i="1"/>
  <c r="C23" i="1"/>
  <c r="C25" i="1"/>
  <c r="C27" i="1"/>
  <c r="C29" i="1"/>
  <c r="C31" i="1"/>
  <c r="C33" i="1"/>
  <c r="C12" i="1"/>
  <c r="C14" i="1"/>
  <c r="C16" i="1"/>
  <c r="C18" i="1"/>
  <c r="C20" i="1"/>
  <c r="C22" i="1"/>
  <c r="C24" i="1"/>
  <c r="C26" i="1"/>
  <c r="C28" i="1"/>
  <c r="C30" i="1"/>
  <c r="C32" i="1"/>
  <c r="C34" i="1"/>
  <c r="E32" i="1" l="1"/>
  <c r="D32" i="1"/>
  <c r="D28" i="1"/>
  <c r="E28" i="1"/>
  <c r="E24" i="1"/>
  <c r="D24" i="1"/>
  <c r="D20" i="1"/>
  <c r="E20" i="1"/>
  <c r="H20" i="1" s="1"/>
  <c r="E16" i="1"/>
  <c r="D16" i="1"/>
  <c r="D12" i="1"/>
  <c r="E12" i="1"/>
  <c r="D31" i="1"/>
  <c r="E31" i="1"/>
  <c r="D27" i="1"/>
  <c r="E27" i="1"/>
  <c r="D23" i="1"/>
  <c r="E23" i="1"/>
  <c r="D19" i="1"/>
  <c r="E19" i="1"/>
  <c r="I19" i="1" s="1"/>
  <c r="J19" i="1" s="1"/>
  <c r="D15" i="1"/>
  <c r="E15" i="1"/>
  <c r="D11" i="1"/>
  <c r="E11" i="1"/>
  <c r="D34" i="1"/>
  <c r="E34" i="1"/>
  <c r="D30" i="1"/>
  <c r="E30" i="1"/>
  <c r="I30" i="1" s="1"/>
  <c r="J30" i="1" s="1"/>
  <c r="D26" i="1"/>
  <c r="E26" i="1"/>
  <c r="D22" i="1"/>
  <c r="E22" i="1"/>
  <c r="D18" i="1"/>
  <c r="E18" i="1"/>
  <c r="D14" i="1"/>
  <c r="E14" i="1"/>
  <c r="D33" i="1"/>
  <c r="E33" i="1"/>
  <c r="D29" i="1"/>
  <c r="E29" i="1"/>
  <c r="D25" i="1"/>
  <c r="E25" i="1"/>
  <c r="D21" i="1"/>
  <c r="E21" i="1"/>
  <c r="D17" i="1"/>
  <c r="E17" i="1"/>
  <c r="D13" i="1"/>
  <c r="E13" i="1"/>
  <c r="I36" i="1"/>
  <c r="J36" i="1" s="1"/>
  <c r="H36" i="1"/>
  <c r="I35" i="1"/>
  <c r="J35" i="1" s="1"/>
  <c r="H35" i="1"/>
  <c r="H10" i="1"/>
  <c r="I10" i="1"/>
  <c r="J10" i="1" s="1"/>
  <c r="H28" i="1" l="1"/>
  <c r="H33" i="1"/>
  <c r="I26" i="1"/>
  <c r="J26" i="1" s="1"/>
  <c r="H30" i="1"/>
  <c r="I34" i="1"/>
  <c r="J34" i="1" s="1"/>
  <c r="I15" i="1"/>
  <c r="J15" i="1" s="1"/>
  <c r="I23" i="1"/>
  <c r="J23" i="1" s="1"/>
  <c r="H34" i="1"/>
  <c r="H13" i="1"/>
  <c r="H17" i="1"/>
  <c r="H21" i="1"/>
  <c r="I25" i="1"/>
  <c r="J25" i="1" s="1"/>
  <c r="I29" i="1"/>
  <c r="J29" i="1" s="1"/>
  <c r="I33" i="1"/>
  <c r="J33" i="1" s="1"/>
  <c r="I14" i="1"/>
  <c r="J14" i="1" s="1"/>
  <c r="I18" i="1"/>
  <c r="J18" i="1" s="1"/>
  <c r="H22" i="1"/>
  <c r="H26" i="1"/>
  <c r="H11" i="1"/>
  <c r="H15" i="1"/>
  <c r="H19" i="1"/>
  <c r="H23" i="1"/>
  <c r="H27" i="1"/>
  <c r="H31" i="1"/>
  <c r="I12" i="1"/>
  <c r="J12" i="1" s="1"/>
  <c r="I16" i="1"/>
  <c r="J16" i="1" s="1"/>
  <c r="I20" i="1"/>
  <c r="J20" i="1" s="1"/>
  <c r="I24" i="1"/>
  <c r="J24" i="1" s="1"/>
  <c r="I28" i="1"/>
  <c r="J28" i="1" s="1"/>
  <c r="H32" i="1"/>
  <c r="H25" i="1"/>
  <c r="I11" i="1"/>
  <c r="J11" i="1" s="1"/>
  <c r="H16" i="1"/>
  <c r="H18" i="1"/>
  <c r="H12" i="1"/>
  <c r="H14" i="1"/>
  <c r="I32" i="1"/>
  <c r="J32" i="1" s="1"/>
  <c r="I21" i="1"/>
  <c r="J21" i="1" s="1"/>
  <c r="I17" i="1"/>
  <c r="J17" i="1" s="1"/>
  <c r="I13" i="1"/>
  <c r="J13" i="1" s="1"/>
  <c r="H24" i="1"/>
  <c r="H29" i="1"/>
  <c r="I31" i="1"/>
  <c r="J31" i="1" s="1"/>
  <c r="I27" i="1"/>
  <c r="J27" i="1" s="1"/>
  <c r="I22" i="1"/>
  <c r="J22" i="1" s="1"/>
</calcChain>
</file>

<file path=xl/sharedStrings.xml><?xml version="1.0" encoding="utf-8"?>
<sst xmlns="http://schemas.openxmlformats.org/spreadsheetml/2006/main" count="292" uniqueCount="274">
  <si>
    <t>Degrees</t>
  </si>
  <si>
    <t xml:space="preserve">Minutes </t>
  </si>
  <si>
    <t>Seconds</t>
  </si>
  <si>
    <t>INPUTS</t>
  </si>
  <si>
    <t>Latitude (South)</t>
  </si>
  <si>
    <t>Longitude (East)</t>
  </si>
  <si>
    <t>OUTPUTS</t>
  </si>
  <si>
    <t>Date</t>
  </si>
  <si>
    <t>Lat</t>
  </si>
  <si>
    <t>Long</t>
  </si>
  <si>
    <t>LongCorr(min)</t>
  </si>
  <si>
    <t>01/01/2018</t>
  </si>
  <si>
    <t>15/01/2018</t>
  </si>
  <si>
    <t>01/02/2018</t>
  </si>
  <si>
    <t>01/03/2018</t>
  </si>
  <si>
    <t>01/04/2018</t>
  </si>
  <si>
    <t>15/04/2018</t>
  </si>
  <si>
    <t>01/05/2018</t>
  </si>
  <si>
    <t>01/06/2018</t>
  </si>
  <si>
    <t>15/06/2018</t>
  </si>
  <si>
    <t>01/07/2018</t>
  </si>
  <si>
    <t>01/08/2018</t>
  </si>
  <si>
    <t>15/08/2018</t>
  </si>
  <si>
    <t>01/09/2018</t>
  </si>
  <si>
    <t>15/09/2018</t>
  </si>
  <si>
    <t>01/10/2018</t>
  </si>
  <si>
    <t>15/10/2018</t>
  </si>
  <si>
    <t>01/11/2018</t>
  </si>
  <si>
    <t>15/11/2018</t>
  </si>
  <si>
    <t>01/12/2018</t>
  </si>
  <si>
    <t>15/12/2018</t>
  </si>
  <si>
    <t>Year</t>
  </si>
  <si>
    <t>Leap?</t>
  </si>
  <si>
    <t xml:space="preserve"> </t>
  </si>
  <si>
    <t>No Days</t>
  </si>
  <si>
    <t>Day</t>
  </si>
  <si>
    <t>Month</t>
  </si>
  <si>
    <t>Dec Sun</t>
  </si>
  <si>
    <t>EOT(min)</t>
  </si>
  <si>
    <t xml:space="preserve">     &lt;= Wiki:Position of the Sun =&gt;</t>
  </si>
  <si>
    <t>TIME</t>
  </si>
  <si>
    <t>06h00</t>
  </si>
  <si>
    <t>06h30</t>
  </si>
  <si>
    <t>07h00</t>
  </si>
  <si>
    <t>07h30</t>
  </si>
  <si>
    <t>08h00</t>
  </si>
  <si>
    <t>08h30</t>
  </si>
  <si>
    <t>09h00</t>
  </si>
  <si>
    <t>09h30</t>
  </si>
  <si>
    <t>10h00</t>
  </si>
  <si>
    <t>10h30</t>
  </si>
  <si>
    <t>11h00</t>
  </si>
  <si>
    <t>11h30</t>
  </si>
  <si>
    <t>12h00</t>
  </si>
  <si>
    <t>12h30</t>
  </si>
  <si>
    <t>13h00</t>
  </si>
  <si>
    <t>13h30</t>
  </si>
  <si>
    <t>14h00</t>
  </si>
  <si>
    <t>14h30</t>
  </si>
  <si>
    <t>15h00</t>
  </si>
  <si>
    <t>15h30</t>
  </si>
  <si>
    <t>16h00</t>
  </si>
  <si>
    <t>16h30</t>
  </si>
  <si>
    <t>17h00</t>
  </si>
  <si>
    <t>17h30</t>
  </si>
  <si>
    <t>18h00</t>
  </si>
  <si>
    <t>Num</t>
  </si>
  <si>
    <t>°</t>
  </si>
  <si>
    <t>Xtime</t>
  </si>
  <si>
    <t>Ytime</t>
  </si>
  <si>
    <t>Semi-Minor Axis</t>
  </si>
  <si>
    <t>Xtime-Alt</t>
  </si>
  <si>
    <t>Ytime-Alt</t>
  </si>
  <si>
    <t>Max E/W extent (m)</t>
  </si>
  <si>
    <t>Semi-Major Axis</t>
  </si>
  <si>
    <t>Distance</t>
  </si>
  <si>
    <t>Azimuth</t>
  </si>
  <si>
    <t>ArcTan</t>
  </si>
  <si>
    <t>Y-analemma</t>
  </si>
  <si>
    <t>X-analemma</t>
  </si>
  <si>
    <t>18h30</t>
  </si>
  <si>
    <t>19h00</t>
  </si>
  <si>
    <t>Y-axis x's</t>
  </si>
  <si>
    <t>Y-axis y's</t>
  </si>
  <si>
    <t>Ephemeris of Sun</t>
  </si>
  <si>
    <t>13h10</t>
  </si>
  <si>
    <t>Geo Dec</t>
  </si>
  <si>
    <t>Altitude</t>
  </si>
  <si>
    <t>Shadow L(m)</t>
  </si>
  <si>
    <t>Shadow X(m)</t>
  </si>
  <si>
    <t>Shadow Y(m)</t>
  </si>
  <si>
    <t>-22° 48' 36.9"</t>
  </si>
  <si>
    <t>+53° 47' 34"</t>
  </si>
  <si>
    <t>081° 55' 22"</t>
  </si>
  <si>
    <t>+77° 22' 59"</t>
  </si>
  <si>
    <t>335° 43' 06"</t>
  </si>
  <si>
    <t>-20° 43' 24.9"</t>
  </si>
  <si>
    <t>+51° 38' 53"</t>
  </si>
  <si>
    <t>079° 56' 04"</t>
  </si>
  <si>
    <t>+75° 46' 54"</t>
  </si>
  <si>
    <t>343° 50' 03"</t>
  </si>
  <si>
    <t>-17° 21' 30.8"</t>
  </si>
  <si>
    <t>+49° 13' 01"</t>
  </si>
  <si>
    <t>076° 04' 30"</t>
  </si>
  <si>
    <t>+72° 38' 10"</t>
  </si>
  <si>
    <t>349° 12' 25"</t>
  </si>
  <si>
    <t>-12° 59' 34.4"</t>
  </si>
  <si>
    <t>+46° 34' 02"</t>
  </si>
  <si>
    <t>070° 53' 36"</t>
  </si>
  <si>
    <t>+68° 19' 59"</t>
  </si>
  <si>
    <t>351° 35' 45"</t>
  </si>
  <si>
    <t>-07° 56' 15.8"</t>
  </si>
  <si>
    <t>+43° 41' 41"</t>
  </si>
  <si>
    <t>064° 58' 11"</t>
  </si>
  <si>
    <t>+63° 15' 48"</t>
  </si>
  <si>
    <t>352° 05' 54"</t>
  </si>
  <si>
    <t>-02° 30' 18.2"</t>
  </si>
  <si>
    <t>+40° 35' 21"</t>
  </si>
  <si>
    <t>058° 51' 22"</t>
  </si>
  <si>
    <t>+57° 46' 16"</t>
  </si>
  <si>
    <t>351° 43' 03"</t>
  </si>
  <si>
    <t>+03° 00' 51.0"</t>
  </si>
  <si>
    <t>+37° 15' 51"</t>
  </si>
  <si>
    <t>053° 02' 30"</t>
  </si>
  <si>
    <t>+52° 10' 12"</t>
  </si>
  <si>
    <t>351° 07' 16"</t>
  </si>
  <si>
    <t>+08° 20' 23.4"</t>
  </si>
  <si>
    <t>+33° 48' 46"</t>
  </si>
  <si>
    <t>047° 54' 30"</t>
  </si>
  <si>
    <t>+46° 45' 51"</t>
  </si>
  <si>
    <t>350° 39' 59"</t>
  </si>
  <si>
    <t>+13° 12' 44.7"</t>
  </si>
  <si>
    <t>+30° 22' 54"</t>
  </si>
  <si>
    <t>043° 43' 52"</t>
  </si>
  <si>
    <t>+41° 50' 32"</t>
  </si>
  <si>
    <t>350° 33' 13"</t>
  </si>
  <si>
    <t>+17° 22' 25.0"</t>
  </si>
  <si>
    <t>+27° 11' 40"</t>
  </si>
  <si>
    <t>040° 39' 14"</t>
  </si>
  <si>
    <t>+37° 40' 47"</t>
  </si>
  <si>
    <t>350° 49' 20"</t>
  </si>
  <si>
    <t>+20° 35' 25.1"</t>
  </si>
  <si>
    <t>+24° 29' 18"</t>
  </si>
  <si>
    <t>038° 43' 39"</t>
  </si>
  <si>
    <t>+34° 30' 51"</t>
  </si>
  <si>
    <t>351° 26' 45"</t>
  </si>
  <si>
    <t>+22° 39' 19.8"</t>
  </si>
  <si>
    <t>+22° 31' 26"</t>
  </si>
  <si>
    <t>037° 53' 31"</t>
  </si>
  <si>
    <t>+32° 32' 02"</t>
  </si>
  <si>
    <t>352° 17' 05"</t>
  </si>
  <si>
    <t>+23° 25' 52.5"</t>
  </si>
  <si>
    <t>+21° 30' 38"</t>
  </si>
  <si>
    <t>038° 01' 52"</t>
  </si>
  <si>
    <t>+31° 51' 05"</t>
  </si>
  <si>
    <t>353° 10' 18"</t>
  </si>
  <si>
    <t>+22° 51' 52.4"</t>
  </si>
  <si>
    <t>+21° 36' 54"</t>
  </si>
  <si>
    <t>038° 57' 19"</t>
  </si>
  <si>
    <t>+32° 29' 33"</t>
  </si>
  <si>
    <t>353° 52' 14"</t>
  </si>
  <si>
    <t>+21° 00' 19.5"</t>
  </si>
  <si>
    <t>+22° 53' 53"</t>
  </si>
  <si>
    <t>040° 28' 42"</t>
  </si>
  <si>
    <t>+34° 23' 33"</t>
  </si>
  <si>
    <t>354° 10' 20"</t>
  </si>
  <si>
    <t>+17° 59' 33.3"</t>
  </si>
  <si>
    <t>+25° 20' 09"</t>
  </si>
  <si>
    <t>042° 24' 42"</t>
  </si>
  <si>
    <t>+37° 24' 06"</t>
  </si>
  <si>
    <t>353° 51' 27"</t>
  </si>
  <si>
    <t>+14° 01' 22.5"</t>
  </si>
  <si>
    <t>+28° 47' 29"</t>
  </si>
  <si>
    <t>044° 39' 02"</t>
  </si>
  <si>
    <t>+41° 18' 44"</t>
  </si>
  <si>
    <t>352° 46' 37"</t>
  </si>
  <si>
    <t>+09° 19' 40.9"</t>
  </si>
  <si>
    <t>+33° 03' 01"</t>
  </si>
  <si>
    <t>047° 09' 21"</t>
  </si>
  <si>
    <t>+45° 52' 17"</t>
  </si>
  <si>
    <t>350° 48' 12"</t>
  </si>
  <si>
    <t>+04° 08' 50.8"</t>
  </si>
  <si>
    <t>+37° 49' 01"</t>
  </si>
  <si>
    <t>050° 00' 39"</t>
  </si>
  <si>
    <t>+50° 48' 55"</t>
  </si>
  <si>
    <t>347° 53' 28"</t>
  </si>
  <si>
    <t>-01° 16' 09.9"</t>
  </si>
  <si>
    <t>+42° 44' 39"</t>
  </si>
  <si>
    <t>053° 22' 20"</t>
  </si>
  <si>
    <t>+55° 52' 31"</t>
  </si>
  <si>
    <t>344° 02' 32"</t>
  </si>
  <si>
    <t>-06° 40' 01.4"</t>
  </si>
  <si>
    <t>+47° 25' 57"</t>
  </si>
  <si>
    <t>057° 27' 24"</t>
  </si>
  <si>
    <t>+60° 48' 28"</t>
  </si>
  <si>
    <t>339° 23' 12"</t>
  </si>
  <si>
    <t>-11° 46' 20.5"</t>
  </si>
  <si>
    <t>+51° 27' 43"</t>
  </si>
  <si>
    <t>062° 23' 51"</t>
  </si>
  <si>
    <t>+65° 23' 52"</t>
  </si>
  <si>
    <t>334° 13' 21"</t>
  </si>
  <si>
    <t>-16° 17' 31.7"</t>
  </si>
  <si>
    <t>+54° 26' 17"</t>
  </si>
  <si>
    <t>068° 02' 59"</t>
  </si>
  <si>
    <t>+69° 28' 38"</t>
  </si>
  <si>
    <t>329° 10' 01"</t>
  </si>
  <si>
    <t>-19° 55' 20.8"</t>
  </si>
  <si>
    <t>+56° 05' 47"</t>
  </si>
  <si>
    <t>073° 47' 20"</t>
  </si>
  <si>
    <t>+72° 54' 59"</t>
  </si>
  <si>
    <t>325° 17' 49"</t>
  </si>
  <si>
    <t>-22° 22' 13.0"</t>
  </si>
  <si>
    <t>+56° 24' 32"</t>
  </si>
  <si>
    <t>078° 35' 03"</t>
  </si>
  <si>
    <t>+75° 34' 21"</t>
  </si>
  <si>
    <t>324° 12' 10"</t>
  </si>
  <si>
    <t>-23° 24' 33.0"</t>
  </si>
  <si>
    <t>+55° 35' 06"</t>
  </si>
  <si>
    <t>081° 28' 44"</t>
  </si>
  <si>
    <t>+77° 12' 34"</t>
  </si>
  <si>
    <t>327° 29' 50"</t>
  </si>
  <si>
    <t>-23° 21' 32.8"</t>
  </si>
  <si>
    <t>+54° 51' 19"</t>
  </si>
  <si>
    <t>082° 02' 17"</t>
  </si>
  <si>
    <t>+77° 31' 31"</t>
  </si>
  <si>
    <t>330° 50' 37"</t>
  </si>
  <si>
    <t>-S * EOT (radians)</t>
  </si>
  <si>
    <t>S*TAN(SDec)*COS(LAT)</t>
  </si>
  <si>
    <t>Naut Alm 2018</t>
  </si>
  <si>
    <t>07/01/2018</t>
  </si>
  <si>
    <t>22/01/2018</t>
  </si>
  <si>
    <t>10/02/2018</t>
  </si>
  <si>
    <t>20/02/2018</t>
  </si>
  <si>
    <t>10/03/2018</t>
  </si>
  <si>
    <t>20/03/2018</t>
  </si>
  <si>
    <t>22/03/2018</t>
  </si>
  <si>
    <t>24/03/2018</t>
  </si>
  <si>
    <t>08/04/2018</t>
  </si>
  <si>
    <t>22/04/2018</t>
  </si>
  <si>
    <t>10/05/2018</t>
  </si>
  <si>
    <t>20/05/2018</t>
  </si>
  <si>
    <t>08/06/2018</t>
  </si>
  <si>
    <t>20/06/2018</t>
  </si>
  <si>
    <t>22/06/2018</t>
  </si>
  <si>
    <t>24/06/2018</t>
  </si>
  <si>
    <t>28/06/2018</t>
  </si>
  <si>
    <t>10/07/2018</t>
  </si>
  <si>
    <t>20/07/2018</t>
  </si>
  <si>
    <t>08/08/2018</t>
  </si>
  <si>
    <t>20/08/2018</t>
  </si>
  <si>
    <t>24/08/2018</t>
  </si>
  <si>
    <t>27/08/2018</t>
  </si>
  <si>
    <t>08/09/2018</t>
  </si>
  <si>
    <t>22/09/2018</t>
  </si>
  <si>
    <t>26/09/2018</t>
  </si>
  <si>
    <t>08/10/2018</t>
  </si>
  <si>
    <t>22/10/2018</t>
  </si>
  <si>
    <t>08/11/2018</t>
  </si>
  <si>
    <t>22/11/2018</t>
  </si>
  <si>
    <t>08/12/2018</t>
  </si>
  <si>
    <t>20/12/2018</t>
  </si>
  <si>
    <t>22/12/2018</t>
  </si>
  <si>
    <t>24/12/2018</t>
  </si>
  <si>
    <t>26/12/2018</t>
  </si>
  <si>
    <t>28/12/2018</t>
  </si>
  <si>
    <t>31/12/2018</t>
  </si>
  <si>
    <t>01/01/2019</t>
  </si>
  <si>
    <t>Location</t>
  </si>
  <si>
    <t>Military Museum</t>
  </si>
  <si>
    <t>10h10</t>
  </si>
  <si>
    <t>Stick Height</t>
  </si>
  <si>
    <t>(mm)</t>
  </si>
  <si>
    <t>X Min/Max</t>
  </si>
  <si>
    <t>Y Min/Max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</si>
</sst>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0"/>
    <numFmt numFmtId="166" formatCode="0.00000"/>
    <numFmt numFmtId="167" formatCode="0.0"/>
    <numFmt numFmtId="168" formatCode="0.000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rgb="FF0066FF"/>
      <name val="Arial"/>
      <family val="2"/>
    </font>
    <font>
      <sz val="14"/>
      <color theme="1"/>
      <name val="Arial"/>
      <family val="2"/>
    </font>
    <font>
      <b/>
      <i/>
      <sz val="16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i/>
      <sz val="9"/>
      <color rgb="FFFF0000"/>
      <name val="Arial"/>
      <family val="2"/>
    </font>
    <font>
      <b/>
      <i/>
      <sz val="11"/>
      <color rgb="FF0066FF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/>
      <top/>
      <bottom style="thick">
        <color rgb="FF808080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3" borderId="11" xfId="0" applyFont="1" applyFill="1" applyBorder="1"/>
    <xf numFmtId="0" fontId="3" fillId="3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/>
    <xf numFmtId="164" fontId="6" fillId="0" borderId="0" xfId="0" applyNumberFormat="1" applyFont="1" applyAlignment="1">
      <alignment horizontal="center"/>
    </xf>
    <xf numFmtId="0" fontId="2" fillId="0" borderId="0" xfId="0" quotePrefix="1" applyFont="1"/>
    <xf numFmtId="0" fontId="4" fillId="4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7" fillId="0" borderId="0" xfId="0" quotePrefix="1" applyFont="1"/>
    <xf numFmtId="167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0" xfId="0" applyFont="1" applyFill="1"/>
    <xf numFmtId="164" fontId="2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center"/>
    </xf>
    <xf numFmtId="167" fontId="2" fillId="0" borderId="14" xfId="0" applyNumberFormat="1" applyFont="1" applyBorder="1" applyAlignment="1">
      <alignment horizontal="center"/>
    </xf>
    <xf numFmtId="167" fontId="2" fillId="0" borderId="15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3" fillId="4" borderId="0" xfId="0" applyFont="1" applyFill="1" applyAlignment="1">
      <alignment horizontal="center"/>
    </xf>
    <xf numFmtId="168" fontId="2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1" fillId="5" borderId="20" xfId="0" applyFont="1" applyFill="1" applyBorder="1" applyAlignment="1">
      <alignment vertical="center" wrapText="1"/>
    </xf>
    <xf numFmtId="0" fontId="11" fillId="5" borderId="21" xfId="0" applyFont="1" applyFill="1" applyBorder="1" applyAlignment="1">
      <alignment vertical="center" wrapText="1"/>
    </xf>
    <xf numFmtId="15" fontId="5" fillId="6" borderId="22" xfId="0" applyNumberFormat="1" applyFont="1" applyFill="1" applyBorder="1" applyAlignment="1">
      <alignment vertical="center"/>
    </xf>
    <xf numFmtId="0" fontId="5" fillId="6" borderId="22" xfId="0" applyFont="1" applyFill="1" applyBorder="1" applyAlignment="1">
      <alignment vertical="center"/>
    </xf>
    <xf numFmtId="168" fontId="0" fillId="7" borderId="14" xfId="0" applyNumberFormat="1" applyFill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0" fontId="5" fillId="6" borderId="23" xfId="0" applyFont="1" applyFill="1" applyBorder="1" applyAlignment="1">
      <alignment vertical="center"/>
    </xf>
    <xf numFmtId="168" fontId="0" fillId="0" borderId="2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168" fontId="0" fillId="7" borderId="15" xfId="0" applyNumberFormat="1" applyFill="1" applyBorder="1" applyAlignment="1">
      <alignment horizontal="center"/>
    </xf>
    <xf numFmtId="168" fontId="0" fillId="0" borderId="24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0" fontId="10" fillId="0" borderId="0" xfId="0" quotePrefix="1" applyFont="1"/>
    <xf numFmtId="0" fontId="12" fillId="0" borderId="0" xfId="0" applyFont="1"/>
    <xf numFmtId="0" fontId="13" fillId="0" borderId="0" xfId="0" applyFont="1"/>
    <xf numFmtId="164" fontId="5" fillId="0" borderId="4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8" borderId="17" xfId="0" applyNumberFormat="1" applyFont="1" applyFill="1" applyBorder="1" applyAlignment="1">
      <alignment horizontal="center"/>
    </xf>
    <xf numFmtId="164" fontId="5" fillId="8" borderId="19" xfId="0" applyNumberFormat="1" applyFont="1" applyFill="1" applyBorder="1" applyAlignment="1">
      <alignment horizontal="center"/>
    </xf>
    <xf numFmtId="164" fontId="5" fillId="9" borderId="19" xfId="0" applyNumberFormat="1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2" fontId="0" fillId="9" borderId="15" xfId="0" applyNumberFormat="1" applyFill="1" applyBorder="1" applyAlignment="1">
      <alignment horizontal="center"/>
    </xf>
    <xf numFmtId="0" fontId="2" fillId="3" borderId="27" xfId="0" applyFont="1" applyFill="1" applyBorder="1"/>
    <xf numFmtId="0" fontId="3" fillId="3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8" borderId="25" xfId="0" applyFont="1" applyFill="1" applyBorder="1"/>
    <xf numFmtId="0" fontId="0" fillId="0" borderId="26" xfId="0" applyBorder="1"/>
    <xf numFmtId="0" fontId="0" fillId="0" borderId="25" xfId="0" applyBorder="1"/>
    <xf numFmtId="0" fontId="2" fillId="3" borderId="28" xfId="0" applyFont="1" applyFill="1" applyBorder="1" applyAlignment="1">
      <alignment horizontal="center"/>
    </xf>
    <xf numFmtId="168" fontId="0" fillId="7" borderId="13" xfId="0" applyNumberFormat="1" applyFill="1" applyBorder="1" applyAlignment="1">
      <alignment horizontal="center"/>
    </xf>
    <xf numFmtId="0" fontId="11" fillId="5" borderId="30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vertical="center"/>
    </xf>
    <xf numFmtId="0" fontId="14" fillId="6" borderId="32" xfId="0" applyFont="1" applyFill="1" applyBorder="1" applyAlignment="1">
      <alignment vertical="center"/>
    </xf>
    <xf numFmtId="0" fontId="14" fillId="6" borderId="33" xfId="0" applyFont="1" applyFill="1" applyBorder="1" applyAlignment="1">
      <alignment vertical="center"/>
    </xf>
    <xf numFmtId="0" fontId="14" fillId="6" borderId="34" xfId="0" applyFont="1" applyFill="1" applyBorder="1" applyAlignment="1">
      <alignment vertical="center"/>
    </xf>
    <xf numFmtId="0" fontId="14" fillId="6" borderId="35" xfId="0" applyFont="1" applyFill="1" applyBorder="1" applyAlignment="1">
      <alignment vertical="center"/>
    </xf>
    <xf numFmtId="0" fontId="14" fillId="6" borderId="36" xfId="0" applyFont="1" applyFill="1" applyBorder="1" applyAlignment="1">
      <alignment vertical="center"/>
    </xf>
    <xf numFmtId="0" fontId="11" fillId="5" borderId="30" xfId="0" applyFont="1" applyFill="1" applyBorder="1" applyAlignment="1">
      <alignment vertical="center" wrapText="1"/>
    </xf>
    <xf numFmtId="0" fontId="15" fillId="0" borderId="0" xfId="0" applyFont="1"/>
    <xf numFmtId="0" fontId="10" fillId="0" borderId="25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415868673050615E-2"/>
          <c:y val="8.1466395112016286E-3"/>
          <c:w val="0.95987232102143183"/>
          <c:h val="0.94025797691785473"/>
        </c:manualLayout>
      </c:layout>
      <c:scatterChart>
        <c:scatterStyle val="smoothMarker"/>
        <c:varyColors val="0"/>
        <c:ser>
          <c:idx val="0"/>
          <c:order val="0"/>
          <c:tx>
            <c:v>Hour Points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Sheet1!$D$10:$D$36</c:f>
              <c:numCache>
                <c:formatCode>0.0000</c:formatCode>
                <c:ptCount val="27"/>
                <c:pt idx="0">
                  <c:v>-1.4991239135852423</c:v>
                </c:pt>
                <c:pt idx="1">
                  <c:v>-1.4929893512200147</c:v>
                </c:pt>
                <c:pt idx="2">
                  <c:v>-1.4613093271139015</c:v>
                </c:pt>
                <c:pt idx="3">
                  <c:v>-1.4046258952628614</c:v>
                </c:pt>
                <c:pt idx="4">
                  <c:v>-1.3239089249017353</c:v>
                </c:pt>
                <c:pt idx="5">
                  <c:v>-1.220539505772734</c:v>
                </c:pt>
                <c:pt idx="6">
                  <c:v>-1.0962863172970341</c:v>
                </c:pt>
                <c:pt idx="7">
                  <c:v>-0.95327536597949991</c:v>
                </c:pt>
                <c:pt idx="8">
                  <c:v>-0.7939536088479402</c:v>
                </c:pt>
                <c:pt idx="9">
                  <c:v>-0.62104708533992259</c:v>
                </c:pt>
                <c:pt idx="10">
                  <c:v>-0.43751427401218584</c:v>
                </c:pt>
                <c:pt idx="11">
                  <c:v>-0.24649547215227502</c:v>
                </c:pt>
                <c:pt idx="12">
                  <c:v>-5.1259064421282863E-2</c:v>
                </c:pt>
                <c:pt idx="13">
                  <c:v>0.14485440011388306</c:v>
                </c:pt>
                <c:pt idx="14">
                  <c:v>0.33848936570122834</c:v>
                </c:pt>
                <c:pt idx="15">
                  <c:v>0.52633268439293268</c:v>
                </c:pt>
                <c:pt idx="16">
                  <c:v>0.70517030492533594</c:v>
                </c:pt>
                <c:pt idx="17">
                  <c:v>0.87194226602717673</c:v>
                </c:pt>
                <c:pt idx="18">
                  <c:v>1.0237950532053337</c:v>
                </c:pt>
                <c:pt idx="19">
                  <c:v>1.1581304231689644</c:v>
                </c:pt>
                <c:pt idx="20">
                  <c:v>1.2726498604925922</c:v>
                </c:pt>
                <c:pt idx="21">
                  <c:v>1.3653939058523119</c:v>
                </c:pt>
                <c:pt idx="22">
                  <c:v>1.4347756829180967</c:v>
                </c:pt>
                <c:pt idx="23">
                  <c:v>1.4796080502477797</c:v>
                </c:pt>
                <c:pt idx="24">
                  <c:v>1.4991239136062691</c:v>
                </c:pt>
                <c:pt idx="25">
                  <c:v>1.4929893511605945</c:v>
                </c:pt>
                <c:pt idx="26">
                  <c:v>1.4613093269750508</c:v>
                </c:pt>
              </c:numCache>
            </c:numRef>
          </c:xVal>
          <c:yVal>
            <c:numRef>
              <c:f>Sheet1!$E$10:$E$36</c:f>
              <c:numCache>
                <c:formatCode>0.0000</c:formatCode>
                <c:ptCount val="27"/>
                <c:pt idx="0">
                  <c:v>2.2601516240997994E-2</c:v>
                </c:pt>
                <c:pt idx="1">
                  <c:v>-6.3870245919571481E-2</c:v>
                </c:pt>
                <c:pt idx="2">
                  <c:v>-0.14924917046399416</c:v>
                </c:pt>
                <c:pt idx="3">
                  <c:v>-0.23207440032142454</c:v>
                </c:pt>
                <c:pt idx="4">
                  <c:v>-0.31092877284514031</c:v>
                </c:pt>
                <c:pt idx="5">
                  <c:v>-0.38446306785834627</c:v>
                </c:pt>
                <c:pt idx="6">
                  <c:v>-0.45141909318548001</c:v>
                </c:pt>
                <c:pt idx="7">
                  <c:v>-0.51065121266917857</c:v>
                </c:pt>
                <c:pt idx="8">
                  <c:v>-0.56114594832256548</c:v>
                </c:pt>
                <c:pt idx="9">
                  <c:v>-0.60203932121860027</c:v>
                </c:pt>
                <c:pt idx="10">
                  <c:v>-0.63263163440906434</c:v>
                </c:pt>
                <c:pt idx="11">
                  <c:v>-0.6523994449333409</c:v>
                </c:pt>
                <c:pt idx="12">
                  <c:v>-0.66100452007259869</c:v>
                </c:pt>
                <c:pt idx="13">
                  <c:v>-0.65829962460538916</c:v>
                </c:pt>
                <c:pt idx="14">
                  <c:v>-0.64433104004310693</c:v>
                </c:pt>
                <c:pt idx="15">
                  <c:v>-0.6193377727404985</c:v>
                </c:pt>
                <c:pt idx="16">
                  <c:v>-0.58374746443066594</c:v>
                </c:pt>
                <c:pt idx="17">
                  <c:v>-0.5381690751564463</c:v>
                </c:pt>
                <c:pt idx="18">
                  <c:v>-0.48338246379524219</c:v>
                </c:pt>
                <c:pt idx="19">
                  <c:v>-0.42032504445740693</c:v>
                </c:pt>
                <c:pt idx="20">
                  <c:v>-0.35007574707091116</c:v>
                </c:pt>
                <c:pt idx="21">
                  <c:v>-0.2738365565911357</c:v>
                </c:pt>
                <c:pt idx="22">
                  <c:v>-0.19291194670502837</c:v>
                </c:pt>
                <c:pt idx="23">
                  <c:v>-0.10868655992463999</c:v>
                </c:pt>
                <c:pt idx="24">
                  <c:v>-2.2601515969849259E-2</c:v>
                </c:pt>
                <c:pt idx="25">
                  <c:v>6.3870246189610499E-2</c:v>
                </c:pt>
                <c:pt idx="26">
                  <c:v>0.14924917072830332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BD-47F1-8EF0-32FF973C9DE0}"/>
            </c:ext>
          </c:extLst>
        </c:ser>
        <c:ser>
          <c:idx val="1"/>
          <c:order val="1"/>
          <c:tx>
            <c:v>10h10 Analemma</c:v>
          </c:tx>
          <c:spPr>
            <a:ln w="19050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</c:marker>
          <c:xVal>
            <c:numRef>
              <c:f>Sheet1!$T$40:$T$66</c:f>
              <c:numCache>
                <c:formatCode>0.000</c:formatCode>
                <c:ptCount val="27"/>
                <c:pt idx="0">
                  <c:v>-0.36229572478906047</c:v>
                </c:pt>
                <c:pt idx="1">
                  <c:v>-0.38940033499235166</c:v>
                </c:pt>
                <c:pt idx="2">
                  <c:v>-0.41851446935321446</c:v>
                </c:pt>
                <c:pt idx="3">
                  <c:v>-0.44712688626045682</c:v>
                </c:pt>
                <c:pt idx="4">
                  <c:v>-0.47397235630448298</c:v>
                </c:pt>
                <c:pt idx="5">
                  <c:v>-0.49923501297204437</c:v>
                </c:pt>
                <c:pt idx="6">
                  <c:v>-0.52486167190652944</c:v>
                </c:pt>
                <c:pt idx="7">
                  <c:v>-0.55363745643685069</c:v>
                </c:pt>
                <c:pt idx="8">
                  <c:v>-0.58914839839979893</c:v>
                </c:pt>
                <c:pt idx="9">
                  <c:v>-0.633501347933067</c:v>
                </c:pt>
                <c:pt idx="10">
                  <c:v>-0.68621721330996222</c:v>
                </c:pt>
                <c:pt idx="11">
                  <c:v>-0.7398940176761537</c:v>
                </c:pt>
                <c:pt idx="12">
                  <c:v>-0.78095843896787198</c:v>
                </c:pt>
                <c:pt idx="13">
                  <c:v>-0.7927413231766689</c:v>
                </c:pt>
                <c:pt idx="14">
                  <c:v>-0.76788293869414659</c:v>
                </c:pt>
                <c:pt idx="15">
                  <c:v>-0.71174744950141622</c:v>
                </c:pt>
                <c:pt idx="16">
                  <c:v>-0.63897579303009555</c:v>
                </c:pt>
                <c:pt idx="17">
                  <c:v>-0.56308026109099096</c:v>
                </c:pt>
                <c:pt idx="18">
                  <c:v>-0.49327281156298042</c:v>
                </c:pt>
                <c:pt idx="19">
                  <c:v>-0.4339312912865162</c:v>
                </c:pt>
                <c:pt idx="20">
                  <c:v>-0.38693888051168934</c:v>
                </c:pt>
                <c:pt idx="21">
                  <c:v>-0.35276075430216169</c:v>
                </c:pt>
                <c:pt idx="22">
                  <c:v>-0.3314023745425691</c:v>
                </c:pt>
                <c:pt idx="23">
                  <c:v>-0.32254088163334521</c:v>
                </c:pt>
                <c:pt idx="24">
                  <c:v>-0.32539890788014453</c:v>
                </c:pt>
                <c:pt idx="25">
                  <c:v>-0.33865509337656508</c:v>
                </c:pt>
                <c:pt idx="26">
                  <c:v>-0.34848348720928435</c:v>
                </c:pt>
              </c:numCache>
            </c:numRef>
          </c:xVal>
          <c:yVal>
            <c:numRef>
              <c:f>Sheet1!$U$40:$U$66</c:f>
              <c:numCache>
                <c:formatCode>0.000</c:formatCode>
                <c:ptCount val="27"/>
                <c:pt idx="0">
                  <c:v>0.94842730401067388</c:v>
                </c:pt>
                <c:pt idx="1">
                  <c:v>0.93070595159113201</c:v>
                </c:pt>
                <c:pt idx="2">
                  <c:v>0.89603934276916886</c:v>
                </c:pt>
                <c:pt idx="3">
                  <c:v>0.84488448663908089</c:v>
                </c:pt>
                <c:pt idx="4">
                  <c:v>0.7784101246088222</c:v>
                </c:pt>
                <c:pt idx="5">
                  <c:v>0.69799461862695222</c:v>
                </c:pt>
                <c:pt idx="6">
                  <c:v>0.60468272572313853</c:v>
                </c:pt>
                <c:pt idx="7">
                  <c:v>0.49939087997008969</c:v>
                </c:pt>
                <c:pt idx="8">
                  <c:v>0.38352960087802623</c:v>
                </c:pt>
                <c:pt idx="9">
                  <c:v>0.26151151437029208</c:v>
                </c:pt>
                <c:pt idx="10">
                  <c:v>0.14338469639679197</c:v>
                </c:pt>
                <c:pt idx="11">
                  <c:v>4.8257550439463115E-2</c:v>
                </c:pt>
                <c:pt idx="12">
                  <c:v>4.5594384186076198E-4</c:v>
                </c:pt>
                <c:pt idx="13">
                  <c:v>1.8432812493241357E-2</c:v>
                </c:pt>
                <c:pt idx="14">
                  <c:v>9.9288789664286559E-2</c:v>
                </c:pt>
                <c:pt idx="15">
                  <c:v>0.2200494326783049</c:v>
                </c:pt>
                <c:pt idx="16">
                  <c:v>0.35252200021301017</c:v>
                </c:pt>
                <c:pt idx="17">
                  <c:v>0.47724667211257754</c:v>
                </c:pt>
                <c:pt idx="18">
                  <c:v>0.58583535585325874</c:v>
                </c:pt>
                <c:pt idx="19">
                  <c:v>0.67707723760700578</c:v>
                </c:pt>
                <c:pt idx="20">
                  <c:v>0.75281914573267339</c:v>
                </c:pt>
                <c:pt idx="21">
                  <c:v>0.81535044694485648</c:v>
                </c:pt>
                <c:pt idx="22">
                  <c:v>0.86626308472073399</c:v>
                </c:pt>
                <c:pt idx="23">
                  <c:v>0.90607003450479118</c:v>
                </c:pt>
                <c:pt idx="24">
                  <c:v>0.9341477712648123</c:v>
                </c:pt>
                <c:pt idx="25">
                  <c:v>0.94911234957896773</c:v>
                </c:pt>
                <c:pt idx="26">
                  <c:v>0.95110870925470281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BD-47F1-8EF0-32FF973C9DE0}"/>
            </c:ext>
          </c:extLst>
        </c:ser>
        <c:ser>
          <c:idx val="2"/>
          <c:order val="2"/>
          <c:tx>
            <c:v>13h10 Analemma</c:v>
          </c:tx>
          <c:spPr>
            <a:ln w="19050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bg1"/>
                </a:solidFill>
              </a:ln>
              <a:effectLst/>
            </c:spPr>
          </c:marker>
          <c:xVal>
            <c:numRef>
              <c:f>Sheet1!$Y$40:$Y$66</c:f>
              <c:numCache>
                <c:formatCode>0.000</c:formatCode>
                <c:ptCount val="27"/>
                <c:pt idx="0">
                  <c:v>4.5970462333430183E-2</c:v>
                </c:pt>
                <c:pt idx="1">
                  <c:v>3.5227021448461258E-2</c:v>
                </c:pt>
                <c:pt idx="2">
                  <c:v>2.9233014473386495E-2</c:v>
                </c:pt>
                <c:pt idx="3">
                  <c:v>2.8982883856558644E-2</c:v>
                </c:pt>
                <c:pt idx="4">
                  <c:v>3.4567408175221151E-2</c:v>
                </c:pt>
                <c:pt idx="5">
                  <c:v>4.5337717030252696E-2</c:v>
                </c:pt>
                <c:pt idx="6">
                  <c:v>5.9841388481823174E-2</c:v>
                </c:pt>
                <c:pt idx="7">
                  <c:v>7.6144508841548775E-2</c:v>
                </c:pt>
                <c:pt idx="8">
                  <c:v>9.152786861896639E-2</c:v>
                </c:pt>
                <c:pt idx="9">
                  <c:v>0.10312378408670841</c:v>
                </c:pt>
                <c:pt idx="10">
                  <c:v>0.10800428623466615</c:v>
                </c:pt>
                <c:pt idx="11">
                  <c:v>0.1050663778354004</c:v>
                </c:pt>
                <c:pt idx="12">
                  <c:v>9.552148518913027E-2</c:v>
                </c:pt>
                <c:pt idx="13">
                  <c:v>8.3664104593955485E-2</c:v>
                </c:pt>
                <c:pt idx="14">
                  <c:v>7.401675047425732E-2</c:v>
                </c:pt>
                <c:pt idx="15">
                  <c:v>6.983628906966742E-2</c:v>
                </c:pt>
                <c:pt idx="16">
                  <c:v>7.1409151764783352E-2</c:v>
                </c:pt>
                <c:pt idx="17">
                  <c:v>7.741378087259973E-2</c:v>
                </c:pt>
                <c:pt idx="18">
                  <c:v>8.5405359613205209E-2</c:v>
                </c:pt>
                <c:pt idx="19">
                  <c:v>9.307702433917607E-2</c:v>
                </c:pt>
                <c:pt idx="20">
                  <c:v>9.8275509529605232E-2</c:v>
                </c:pt>
                <c:pt idx="21">
                  <c:v>9.9492559592518875E-2</c:v>
                </c:pt>
                <c:pt idx="22">
                  <c:v>9.586380770415702E-2</c:v>
                </c:pt>
                <c:pt idx="23">
                  <c:v>8.741703886576381E-2</c:v>
                </c:pt>
                <c:pt idx="24">
                  <c:v>7.5174281353479283E-2</c:v>
                </c:pt>
                <c:pt idx="25">
                  <c:v>6.0932003472117968E-2</c:v>
                </c:pt>
                <c:pt idx="26">
                  <c:v>5.3833415955094575E-2</c:v>
                </c:pt>
              </c:numCache>
            </c:numRef>
          </c:xVal>
          <c:yVal>
            <c:numRef>
              <c:f>Sheet1!$Z$40:$Z$66</c:f>
              <c:numCache>
                <c:formatCode>0.000</c:formatCode>
                <c:ptCount val="27"/>
                <c:pt idx="0">
                  <c:v>0.8980593453764123</c:v>
                </c:pt>
                <c:pt idx="1">
                  <c:v>0.87840138247677046</c:v>
                </c:pt>
                <c:pt idx="2">
                  <c:v>0.84650462977087693</c:v>
                </c:pt>
                <c:pt idx="3">
                  <c:v>0.80357616063256665</c:v>
                </c:pt>
                <c:pt idx="4">
                  <c:v>0.7505990503523734</c:v>
                </c:pt>
                <c:pt idx="5">
                  <c:v>0.68815079228165943</c:v>
                </c:pt>
                <c:pt idx="6">
                  <c:v>0.61647583394463457</c:v>
                </c:pt>
                <c:pt idx="7">
                  <c:v>0.53618843619360357</c:v>
                </c:pt>
                <c:pt idx="8">
                  <c:v>0.44926936283065044</c:v>
                </c:pt>
                <c:pt idx="9">
                  <c:v>0.36098381168155536</c:v>
                </c:pt>
                <c:pt idx="10">
                  <c:v>0.28106976293236186</c:v>
                </c:pt>
                <c:pt idx="11">
                  <c:v>0.22338277437197074</c:v>
                </c:pt>
                <c:pt idx="12">
                  <c:v>0.20101430889531102</c:v>
                </c:pt>
                <c:pt idx="13">
                  <c:v>0.21952930452625341</c:v>
                </c:pt>
                <c:pt idx="14">
                  <c:v>0.2734457281114191</c:v>
                </c:pt>
                <c:pt idx="15">
                  <c:v>0.34992167847426114</c:v>
                </c:pt>
                <c:pt idx="16">
                  <c:v>0.43571437925912582</c:v>
                </c:pt>
                <c:pt idx="17">
                  <c:v>0.52130181571528378</c:v>
                </c:pt>
                <c:pt idx="18">
                  <c:v>0.60157851630155745</c:v>
                </c:pt>
                <c:pt idx="19">
                  <c:v>0.67429027294006993</c:v>
                </c:pt>
                <c:pt idx="20">
                  <c:v>0.73860231709802482</c:v>
                </c:pt>
                <c:pt idx="21">
                  <c:v>0.79390684658755839</c:v>
                </c:pt>
                <c:pt idx="22">
                  <c:v>0.83934883185057518</c:v>
                </c:pt>
                <c:pt idx="23">
                  <c:v>0.87373439120859264</c:v>
                </c:pt>
                <c:pt idx="24">
                  <c:v>0.8957306798540523</c:v>
                </c:pt>
                <c:pt idx="25">
                  <c:v>0.90433868021696373</c:v>
                </c:pt>
                <c:pt idx="26">
                  <c:v>0.90347281095198129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BD-47F1-8EF0-32FF973C9DE0}"/>
            </c:ext>
          </c:extLst>
        </c:ser>
        <c:ser>
          <c:idx val="3"/>
          <c:order val="3"/>
          <c:tx>
            <c:v>Analemma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Sheet1!$K$40:$K$96</c:f>
              <c:numCache>
                <c:formatCode>0.0000</c:formatCode>
                <c:ptCount val="57"/>
                <c:pt idx="0">
                  <c:v>2.0823878114275895E-2</c:v>
                </c:pt>
                <c:pt idx="1">
                  <c:v>3.8753769826228919E-2</c:v>
                </c:pt>
                <c:pt idx="2">
                  <c:v>5.972544214236946E-2</c:v>
                </c:pt>
                <c:pt idx="3">
                  <c:v>7.4408570382163849E-2</c:v>
                </c:pt>
                <c:pt idx="4">
                  <c:v>8.8323944682306879E-2</c:v>
                </c:pt>
                <c:pt idx="5">
                  <c:v>9.3328150433194978E-2</c:v>
                </c:pt>
                <c:pt idx="6">
                  <c:v>9.0901410168807553E-2</c:v>
                </c:pt>
                <c:pt idx="7">
                  <c:v>8.2485803384410084E-2</c:v>
                </c:pt>
                <c:pt idx="8">
                  <c:v>6.947555899623703E-2</c:v>
                </c:pt>
                <c:pt idx="9">
                  <c:v>5.1451849423539392E-2</c:v>
                </c:pt>
                <c:pt idx="10">
                  <c:v>4.7579704658204255E-2</c:v>
                </c:pt>
                <c:pt idx="11">
                  <c:v>4.3659771095582556E-2</c:v>
                </c:pt>
                <c:pt idx="12">
                  <c:v>2.7853185845581913E-2</c:v>
                </c:pt>
                <c:pt idx="13">
                  <c:v>1.4491455302709882E-2</c:v>
                </c:pt>
                <c:pt idx="14">
                  <c:v>2.2929327424968684E-3</c:v>
                </c:pt>
                <c:pt idx="15">
                  <c:v>-8.1213317913461525E-3</c:v>
                </c:pt>
                <c:pt idx="16">
                  <c:v>-1.8058633526037374E-2</c:v>
                </c:pt>
                <c:pt idx="17">
                  <c:v>-2.3387888040957896E-2</c:v>
                </c:pt>
                <c:pt idx="18">
                  <c:v>-2.3482870291107034E-2</c:v>
                </c:pt>
                <c:pt idx="19">
                  <c:v>-1.5952687426764027E-2</c:v>
                </c:pt>
                <c:pt idx="20">
                  <c:v>-8.4425236556784061E-3</c:v>
                </c:pt>
                <c:pt idx="21">
                  <c:v>5.8297676506483074E-4</c:v>
                </c:pt>
                <c:pt idx="22">
                  <c:v>7.520923956771371E-3</c:v>
                </c:pt>
                <c:pt idx="23">
                  <c:v>1.0329476680511193E-2</c:v>
                </c:pt>
                <c:pt idx="24">
                  <c:v>1.3126462399338828E-2</c:v>
                </c:pt>
                <c:pt idx="25">
                  <c:v>1.8604166440316535E-2</c:v>
                </c:pt>
                <c:pt idx="26">
                  <c:v>2.2531776416669032E-2</c:v>
                </c:pt>
                <c:pt idx="27">
                  <c:v>3.2706132170369523E-2</c:v>
                </c:pt>
                <c:pt idx="28">
                  <c:v>3.9779101451860935E-2</c:v>
                </c:pt>
                <c:pt idx="29">
                  <c:v>4.0487814778231906E-2</c:v>
                </c:pt>
                <c:pt idx="30">
                  <c:v>3.6596814969748689E-2</c:v>
                </c:pt>
                <c:pt idx="31">
                  <c:v>2.9597469372975055E-2</c:v>
                </c:pt>
                <c:pt idx="32">
                  <c:v>2.2833414464825685E-2</c:v>
                </c:pt>
                <c:pt idx="33">
                  <c:v>1.6468851820926955E-2</c:v>
                </c:pt>
                <c:pt idx="34">
                  <c:v>1.1196461239390554E-2</c:v>
                </c:pt>
                <c:pt idx="35">
                  <c:v>1.5835656138855261E-3</c:v>
                </c:pt>
                <c:pt idx="36">
                  <c:v>-1.3241294920263979E-2</c:v>
                </c:pt>
                <c:pt idx="37">
                  <c:v>-2.9064886334515004E-2</c:v>
                </c:pt>
                <c:pt idx="38">
                  <c:v>-4.5176556039205847E-2</c:v>
                </c:pt>
                <c:pt idx="39">
                  <c:v>-5.4226300023796158E-2</c:v>
                </c:pt>
                <c:pt idx="40">
                  <c:v>-6.5112328811964604E-2</c:v>
                </c:pt>
                <c:pt idx="41">
                  <c:v>-7.9061415887625552E-2</c:v>
                </c:pt>
                <c:pt idx="42">
                  <c:v>-9.0832522443933375E-2</c:v>
                </c:pt>
                <c:pt idx="43">
                  <c:v>-9.9725575484824955E-2</c:v>
                </c:pt>
                <c:pt idx="44">
                  <c:v>-0.10622548710898544</c:v>
                </c:pt>
                <c:pt idx="45">
                  <c:v>-0.10577489677850518</c:v>
                </c:pt>
                <c:pt idx="46">
                  <c:v>-0.1008854849367784</c:v>
                </c:pt>
                <c:pt idx="47">
                  <c:v>-9.1526484465673658E-2</c:v>
                </c:pt>
                <c:pt idx="48">
                  <c:v>-7.3342982236062226E-2</c:v>
                </c:pt>
                <c:pt idx="49">
                  <c:v>-5.5130344775651811E-2</c:v>
                </c:pt>
                <c:pt idx="50">
                  <c:v>-3.4306163737250941E-2</c:v>
                </c:pt>
                <c:pt idx="51">
                  <c:v>-1.8439214469799761E-2</c:v>
                </c:pt>
                <c:pt idx="52">
                  <c:v>-1.1976350405959593E-2</c:v>
                </c:pt>
                <c:pt idx="53">
                  <c:v>-5.4913567314071295E-3</c:v>
                </c:pt>
                <c:pt idx="54">
                  <c:v>9.8603324535884141E-4</c:v>
                </c:pt>
                <c:pt idx="55">
                  <c:v>7.4261927612377619E-3</c:v>
                </c:pt>
                <c:pt idx="56">
                  <c:v>1.695269604384033E-2</c:v>
                </c:pt>
              </c:numCache>
            </c:numRef>
          </c:xVal>
          <c:yVal>
            <c:numRef>
              <c:f>Sheet1!$L$40:$L$96</c:f>
              <c:numCache>
                <c:formatCode>0.0000</c:formatCode>
                <c:ptCount val="57"/>
                <c:pt idx="0">
                  <c:v>-0.57198406866946139</c:v>
                </c:pt>
                <c:pt idx="1">
                  <c:v>-0.5513952873499901</c:v>
                </c:pt>
                <c:pt idx="2">
                  <c:v>-0.52133604142981826</c:v>
                </c:pt>
                <c:pt idx="3">
                  <c:v>-0.4829253209001611</c:v>
                </c:pt>
                <c:pt idx="4">
                  <c:v>-0.41605876594507996</c:v>
                </c:pt>
                <c:pt idx="5">
                  <c:v>-0.34655153085422619</c:v>
                </c:pt>
                <c:pt idx="6">
                  <c:v>-0.26172137550300062</c:v>
                </c:pt>
                <c:pt idx="7">
                  <c:v>-0.18174171733134223</c:v>
                </c:pt>
                <c:pt idx="8">
                  <c:v>-9.9150638491686996E-2</c:v>
                </c:pt>
                <c:pt idx="9">
                  <c:v>6.2739092375485297E-3</c:v>
                </c:pt>
                <c:pt idx="10">
                  <c:v>1.2289595187444085E-2</c:v>
                </c:pt>
                <c:pt idx="11">
                  <c:v>3.0834263434641827E-2</c:v>
                </c:pt>
                <c:pt idx="12">
                  <c:v>0.10442056449405286</c:v>
                </c:pt>
                <c:pt idx="13">
                  <c:v>0.16769231078419336</c:v>
                </c:pt>
                <c:pt idx="14">
                  <c:v>0.22935589808724774</c:v>
                </c:pt>
                <c:pt idx="15">
                  <c:v>0.28874766734967139</c:v>
                </c:pt>
                <c:pt idx="16">
                  <c:v>0.36056754272267655</c:v>
                </c:pt>
                <c:pt idx="17">
                  <c:v>0.42573160889065231</c:v>
                </c:pt>
                <c:pt idx="18">
                  <c:v>0.48789057550558856</c:v>
                </c:pt>
                <c:pt idx="19">
                  <c:v>0.54430165123825081</c:v>
                </c:pt>
                <c:pt idx="20">
                  <c:v>0.56640852445079726</c:v>
                </c:pt>
                <c:pt idx="21">
                  <c:v>0.57961956004239878</c:v>
                </c:pt>
                <c:pt idx="22">
                  <c:v>0.58338352751023603</c:v>
                </c:pt>
                <c:pt idx="23">
                  <c:v>0.58352308106370288</c:v>
                </c:pt>
                <c:pt idx="24">
                  <c:v>0.58293702704441985</c:v>
                </c:pt>
                <c:pt idx="25">
                  <c:v>0.57945245013816182</c:v>
                </c:pt>
                <c:pt idx="26">
                  <c:v>0.57480724830170116</c:v>
                </c:pt>
                <c:pt idx="27">
                  <c:v>0.55114835154772124</c:v>
                </c:pt>
                <c:pt idx="28">
                  <c:v>0.5088640492159523</c:v>
                </c:pt>
                <c:pt idx="29">
                  <c:v>0.43947124107474006</c:v>
                </c:pt>
                <c:pt idx="30">
                  <c:v>0.39139528443265986</c:v>
                </c:pt>
                <c:pt idx="31">
                  <c:v>0.33887030829204567</c:v>
                </c:pt>
                <c:pt idx="32">
                  <c:v>0.29916103929746951</c:v>
                </c:pt>
                <c:pt idx="33">
                  <c:v>0.2662843958437105</c:v>
                </c:pt>
                <c:pt idx="34">
                  <c:v>0.2411002033361338</c:v>
                </c:pt>
                <c:pt idx="35">
                  <c:v>0.19815817445593426</c:v>
                </c:pt>
                <c:pt idx="36">
                  <c:v>0.13651622328468382</c:v>
                </c:pt>
                <c:pt idx="37">
                  <c:v>7.3573656764549078E-2</c:v>
                </c:pt>
                <c:pt idx="38">
                  <c:v>9.8691760445797482E-3</c:v>
                </c:pt>
                <c:pt idx="39">
                  <c:v>-2.6720298462986621E-2</c:v>
                </c:pt>
                <c:pt idx="40">
                  <c:v>-7.2442454310446339E-2</c:v>
                </c:pt>
                <c:pt idx="41">
                  <c:v>-0.13623135870570863</c:v>
                </c:pt>
                <c:pt idx="42">
                  <c:v>-0.1991185397267547</c:v>
                </c:pt>
                <c:pt idx="43">
                  <c:v>-0.26052667895127024</c:v>
                </c:pt>
                <c:pt idx="44">
                  <c:v>-0.34409726426879989</c:v>
                </c:pt>
                <c:pt idx="45">
                  <c:v>-0.39846421504697083</c:v>
                </c:pt>
                <c:pt idx="46">
                  <c:v>-0.44806795146224965</c:v>
                </c:pt>
                <c:pt idx="47">
                  <c:v>-0.49180199145728887</c:v>
                </c:pt>
                <c:pt idx="48">
                  <c:v>-0.53720665698577064</c:v>
                </c:pt>
                <c:pt idx="49">
                  <c:v>-0.56267856962038998</c:v>
                </c:pt>
                <c:pt idx="50">
                  <c:v>-0.57836660266750495</c:v>
                </c:pt>
                <c:pt idx="51">
                  <c:v>-0.58321607717682167</c:v>
                </c:pt>
                <c:pt idx="52">
                  <c:v>-0.58357890544090263</c:v>
                </c:pt>
                <c:pt idx="53">
                  <c:v>-0.58310445206143047</c:v>
                </c:pt>
                <c:pt idx="54">
                  <c:v>-0.58176547670559287</c:v>
                </c:pt>
                <c:pt idx="55">
                  <c:v>-0.57959170734540644</c:v>
                </c:pt>
                <c:pt idx="56">
                  <c:v>-0.57461279223756501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3BD-47F1-8EF0-32FF973C9DE0}"/>
            </c:ext>
          </c:extLst>
        </c:ser>
        <c:ser>
          <c:idx val="4"/>
          <c:order val="4"/>
          <c:tx>
            <c:v>Vertical Line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Sheet1!$O$30:$O$31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Sheet1!$P$30:$P$31</c:f>
              <c:numCache>
                <c:formatCode>0.000</c:formatCode>
                <c:ptCount val="2"/>
                <c:pt idx="0">
                  <c:v>-0.64</c:v>
                </c:pt>
                <c:pt idx="1">
                  <c:v>0.64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3BD-47F1-8EF0-32FF973C9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583728"/>
        <c:axId val="458584056"/>
      </c:scatterChart>
      <c:valAx>
        <c:axId val="458583728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crossAx val="458584056"/>
        <c:crosses val="autoZero"/>
        <c:crossBetween val="midCat"/>
      </c:valAx>
      <c:valAx>
        <c:axId val="45858405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crossAx val="458583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Hour Points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Sheet1!$D$10:$D$36</c:f>
              <c:numCache>
                <c:formatCode>0.0000</c:formatCode>
                <c:ptCount val="27"/>
                <c:pt idx="0">
                  <c:v>-1.4991239135852423</c:v>
                </c:pt>
                <c:pt idx="1">
                  <c:v>-1.4929893512200147</c:v>
                </c:pt>
                <c:pt idx="2">
                  <c:v>-1.4613093271139015</c:v>
                </c:pt>
                <c:pt idx="3">
                  <c:v>-1.4046258952628614</c:v>
                </c:pt>
                <c:pt idx="4">
                  <c:v>-1.3239089249017353</c:v>
                </c:pt>
                <c:pt idx="5">
                  <c:v>-1.220539505772734</c:v>
                </c:pt>
                <c:pt idx="6">
                  <c:v>-1.0962863172970341</c:v>
                </c:pt>
                <c:pt idx="7">
                  <c:v>-0.95327536597949991</c:v>
                </c:pt>
                <c:pt idx="8">
                  <c:v>-0.7939536088479402</c:v>
                </c:pt>
                <c:pt idx="9">
                  <c:v>-0.62104708533992259</c:v>
                </c:pt>
                <c:pt idx="10">
                  <c:v>-0.43751427401218584</c:v>
                </c:pt>
                <c:pt idx="11">
                  <c:v>-0.24649547215227502</c:v>
                </c:pt>
                <c:pt idx="12">
                  <c:v>-5.1259064421282863E-2</c:v>
                </c:pt>
                <c:pt idx="13">
                  <c:v>0.14485440011388306</c:v>
                </c:pt>
                <c:pt idx="14">
                  <c:v>0.33848936570122834</c:v>
                </c:pt>
                <c:pt idx="15">
                  <c:v>0.52633268439293268</c:v>
                </c:pt>
                <c:pt idx="16">
                  <c:v>0.70517030492533594</c:v>
                </c:pt>
                <c:pt idx="17">
                  <c:v>0.87194226602717673</c:v>
                </c:pt>
                <c:pt idx="18">
                  <c:v>1.0237950532053337</c:v>
                </c:pt>
                <c:pt idx="19">
                  <c:v>1.1581304231689644</c:v>
                </c:pt>
                <c:pt idx="20">
                  <c:v>1.2726498604925922</c:v>
                </c:pt>
                <c:pt idx="21">
                  <c:v>1.3653939058523119</c:v>
                </c:pt>
                <c:pt idx="22">
                  <c:v>1.4347756829180967</c:v>
                </c:pt>
                <c:pt idx="23">
                  <c:v>1.4796080502477797</c:v>
                </c:pt>
                <c:pt idx="24">
                  <c:v>1.4991239136062691</c:v>
                </c:pt>
                <c:pt idx="25">
                  <c:v>1.4929893511605945</c:v>
                </c:pt>
                <c:pt idx="26">
                  <c:v>1.4613093269750508</c:v>
                </c:pt>
              </c:numCache>
            </c:numRef>
          </c:xVal>
          <c:yVal>
            <c:numRef>
              <c:f>Sheet1!$E$10:$E$36</c:f>
              <c:numCache>
                <c:formatCode>0.0000</c:formatCode>
                <c:ptCount val="27"/>
                <c:pt idx="0">
                  <c:v>2.2601516240997994E-2</c:v>
                </c:pt>
                <c:pt idx="1">
                  <c:v>-6.3870245919571481E-2</c:v>
                </c:pt>
                <c:pt idx="2">
                  <c:v>-0.14924917046399416</c:v>
                </c:pt>
                <c:pt idx="3">
                  <c:v>-0.23207440032142454</c:v>
                </c:pt>
                <c:pt idx="4">
                  <c:v>-0.31092877284514031</c:v>
                </c:pt>
                <c:pt idx="5">
                  <c:v>-0.38446306785834627</c:v>
                </c:pt>
                <c:pt idx="6">
                  <c:v>-0.45141909318548001</c:v>
                </c:pt>
                <c:pt idx="7">
                  <c:v>-0.51065121266917857</c:v>
                </c:pt>
                <c:pt idx="8">
                  <c:v>-0.56114594832256548</c:v>
                </c:pt>
                <c:pt idx="9">
                  <c:v>-0.60203932121860027</c:v>
                </c:pt>
                <c:pt idx="10">
                  <c:v>-0.63263163440906434</c:v>
                </c:pt>
                <c:pt idx="11">
                  <c:v>-0.6523994449333409</c:v>
                </c:pt>
                <c:pt idx="12">
                  <c:v>-0.66100452007259869</c:v>
                </c:pt>
                <c:pt idx="13">
                  <c:v>-0.65829962460538916</c:v>
                </c:pt>
                <c:pt idx="14">
                  <c:v>-0.64433104004310693</c:v>
                </c:pt>
                <c:pt idx="15">
                  <c:v>-0.6193377727404985</c:v>
                </c:pt>
                <c:pt idx="16">
                  <c:v>-0.58374746443066594</c:v>
                </c:pt>
                <c:pt idx="17">
                  <c:v>-0.5381690751564463</c:v>
                </c:pt>
                <c:pt idx="18">
                  <c:v>-0.48338246379524219</c:v>
                </c:pt>
                <c:pt idx="19">
                  <c:v>-0.42032504445740693</c:v>
                </c:pt>
                <c:pt idx="20">
                  <c:v>-0.35007574707091116</c:v>
                </c:pt>
                <c:pt idx="21">
                  <c:v>-0.2738365565911357</c:v>
                </c:pt>
                <c:pt idx="22">
                  <c:v>-0.19291194670502837</c:v>
                </c:pt>
                <c:pt idx="23">
                  <c:v>-0.10868655992463999</c:v>
                </c:pt>
                <c:pt idx="24">
                  <c:v>-2.2601515969849259E-2</c:v>
                </c:pt>
                <c:pt idx="25">
                  <c:v>6.3870246189610499E-2</c:v>
                </c:pt>
                <c:pt idx="26">
                  <c:v>0.14924917072830332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B0-4F2D-8B93-A74C16B0C178}"/>
            </c:ext>
          </c:extLst>
        </c:ser>
        <c:ser>
          <c:idx val="1"/>
          <c:order val="1"/>
          <c:tx>
            <c:v>10h10 Analemma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Sheet1!$T$40:$T$66</c:f>
              <c:numCache>
                <c:formatCode>0.000</c:formatCode>
                <c:ptCount val="27"/>
                <c:pt idx="0">
                  <c:v>-0.36229572478906047</c:v>
                </c:pt>
                <c:pt idx="1">
                  <c:v>-0.38940033499235166</c:v>
                </c:pt>
                <c:pt idx="2">
                  <c:v>-0.41851446935321446</c:v>
                </c:pt>
                <c:pt idx="3">
                  <c:v>-0.44712688626045682</c:v>
                </c:pt>
                <c:pt idx="4">
                  <c:v>-0.47397235630448298</c:v>
                </c:pt>
                <c:pt idx="5">
                  <c:v>-0.49923501297204437</c:v>
                </c:pt>
                <c:pt idx="6">
                  <c:v>-0.52486167190652944</c:v>
                </c:pt>
                <c:pt idx="7">
                  <c:v>-0.55363745643685069</c:v>
                </c:pt>
                <c:pt idx="8">
                  <c:v>-0.58914839839979893</c:v>
                </c:pt>
                <c:pt idx="9">
                  <c:v>-0.633501347933067</c:v>
                </c:pt>
                <c:pt idx="10">
                  <c:v>-0.68621721330996222</c:v>
                </c:pt>
                <c:pt idx="11">
                  <c:v>-0.7398940176761537</c:v>
                </c:pt>
                <c:pt idx="12">
                  <c:v>-0.78095843896787198</c:v>
                </c:pt>
                <c:pt idx="13">
                  <c:v>-0.7927413231766689</c:v>
                </c:pt>
                <c:pt idx="14">
                  <c:v>-0.76788293869414659</c:v>
                </c:pt>
                <c:pt idx="15">
                  <c:v>-0.71174744950141622</c:v>
                </c:pt>
                <c:pt idx="16">
                  <c:v>-0.63897579303009555</c:v>
                </c:pt>
                <c:pt idx="17">
                  <c:v>-0.56308026109099096</c:v>
                </c:pt>
                <c:pt idx="18">
                  <c:v>-0.49327281156298042</c:v>
                </c:pt>
                <c:pt idx="19">
                  <c:v>-0.4339312912865162</c:v>
                </c:pt>
                <c:pt idx="20">
                  <c:v>-0.38693888051168934</c:v>
                </c:pt>
                <c:pt idx="21">
                  <c:v>-0.35276075430216169</c:v>
                </c:pt>
                <c:pt idx="22">
                  <c:v>-0.3314023745425691</c:v>
                </c:pt>
                <c:pt idx="23">
                  <c:v>-0.32254088163334521</c:v>
                </c:pt>
                <c:pt idx="24">
                  <c:v>-0.32539890788014453</c:v>
                </c:pt>
                <c:pt idx="25">
                  <c:v>-0.33865509337656508</c:v>
                </c:pt>
                <c:pt idx="26">
                  <c:v>-0.34848348720928435</c:v>
                </c:pt>
              </c:numCache>
            </c:numRef>
          </c:xVal>
          <c:yVal>
            <c:numRef>
              <c:f>Sheet1!$U$40:$U$66</c:f>
              <c:numCache>
                <c:formatCode>0.000</c:formatCode>
                <c:ptCount val="27"/>
                <c:pt idx="0">
                  <c:v>0.94842730401067388</c:v>
                </c:pt>
                <c:pt idx="1">
                  <c:v>0.93070595159113201</c:v>
                </c:pt>
                <c:pt idx="2">
                  <c:v>0.89603934276916886</c:v>
                </c:pt>
                <c:pt idx="3">
                  <c:v>0.84488448663908089</c:v>
                </c:pt>
                <c:pt idx="4">
                  <c:v>0.7784101246088222</c:v>
                </c:pt>
                <c:pt idx="5">
                  <c:v>0.69799461862695222</c:v>
                </c:pt>
                <c:pt idx="6">
                  <c:v>0.60468272572313853</c:v>
                </c:pt>
                <c:pt idx="7">
                  <c:v>0.49939087997008969</c:v>
                </c:pt>
                <c:pt idx="8">
                  <c:v>0.38352960087802623</c:v>
                </c:pt>
                <c:pt idx="9">
                  <c:v>0.26151151437029208</c:v>
                </c:pt>
                <c:pt idx="10">
                  <c:v>0.14338469639679197</c:v>
                </c:pt>
                <c:pt idx="11">
                  <c:v>4.8257550439463115E-2</c:v>
                </c:pt>
                <c:pt idx="12">
                  <c:v>4.5594384186076198E-4</c:v>
                </c:pt>
                <c:pt idx="13">
                  <c:v>1.8432812493241357E-2</c:v>
                </c:pt>
                <c:pt idx="14">
                  <c:v>9.9288789664286559E-2</c:v>
                </c:pt>
                <c:pt idx="15">
                  <c:v>0.2200494326783049</c:v>
                </c:pt>
                <c:pt idx="16">
                  <c:v>0.35252200021301017</c:v>
                </c:pt>
                <c:pt idx="17">
                  <c:v>0.47724667211257754</c:v>
                </c:pt>
                <c:pt idx="18">
                  <c:v>0.58583535585325874</c:v>
                </c:pt>
                <c:pt idx="19">
                  <c:v>0.67707723760700578</c:v>
                </c:pt>
                <c:pt idx="20">
                  <c:v>0.75281914573267339</c:v>
                </c:pt>
                <c:pt idx="21">
                  <c:v>0.81535044694485648</c:v>
                </c:pt>
                <c:pt idx="22">
                  <c:v>0.86626308472073399</c:v>
                </c:pt>
                <c:pt idx="23">
                  <c:v>0.90607003450479118</c:v>
                </c:pt>
                <c:pt idx="24">
                  <c:v>0.9341477712648123</c:v>
                </c:pt>
                <c:pt idx="25">
                  <c:v>0.94911234957896773</c:v>
                </c:pt>
                <c:pt idx="26">
                  <c:v>0.95110870925470281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4B0-4F2D-8B93-A74C16B0C178}"/>
            </c:ext>
          </c:extLst>
        </c:ser>
        <c:ser>
          <c:idx val="2"/>
          <c:order val="2"/>
          <c:tx>
            <c:v>13h10 Analemma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Sheet1!$Y$40:$Y$66</c:f>
              <c:numCache>
                <c:formatCode>0.000</c:formatCode>
                <c:ptCount val="27"/>
                <c:pt idx="0">
                  <c:v>4.5970462333430183E-2</c:v>
                </c:pt>
                <c:pt idx="1">
                  <c:v>3.5227021448461258E-2</c:v>
                </c:pt>
                <c:pt idx="2">
                  <c:v>2.9233014473386495E-2</c:v>
                </c:pt>
                <c:pt idx="3">
                  <c:v>2.8982883856558644E-2</c:v>
                </c:pt>
                <c:pt idx="4">
                  <c:v>3.4567408175221151E-2</c:v>
                </c:pt>
                <c:pt idx="5">
                  <c:v>4.5337717030252696E-2</c:v>
                </c:pt>
                <c:pt idx="6">
                  <c:v>5.9841388481823174E-2</c:v>
                </c:pt>
                <c:pt idx="7">
                  <c:v>7.6144508841548775E-2</c:v>
                </c:pt>
                <c:pt idx="8">
                  <c:v>9.152786861896639E-2</c:v>
                </c:pt>
                <c:pt idx="9">
                  <c:v>0.10312378408670841</c:v>
                </c:pt>
                <c:pt idx="10">
                  <c:v>0.10800428623466615</c:v>
                </c:pt>
                <c:pt idx="11">
                  <c:v>0.1050663778354004</c:v>
                </c:pt>
                <c:pt idx="12">
                  <c:v>9.552148518913027E-2</c:v>
                </c:pt>
                <c:pt idx="13">
                  <c:v>8.3664104593955485E-2</c:v>
                </c:pt>
                <c:pt idx="14">
                  <c:v>7.401675047425732E-2</c:v>
                </c:pt>
                <c:pt idx="15">
                  <c:v>6.983628906966742E-2</c:v>
                </c:pt>
                <c:pt idx="16">
                  <c:v>7.1409151764783352E-2</c:v>
                </c:pt>
                <c:pt idx="17">
                  <c:v>7.741378087259973E-2</c:v>
                </c:pt>
                <c:pt idx="18">
                  <c:v>8.5405359613205209E-2</c:v>
                </c:pt>
                <c:pt idx="19">
                  <c:v>9.307702433917607E-2</c:v>
                </c:pt>
                <c:pt idx="20">
                  <c:v>9.8275509529605232E-2</c:v>
                </c:pt>
                <c:pt idx="21">
                  <c:v>9.9492559592518875E-2</c:v>
                </c:pt>
                <c:pt idx="22">
                  <c:v>9.586380770415702E-2</c:v>
                </c:pt>
                <c:pt idx="23">
                  <c:v>8.741703886576381E-2</c:v>
                </c:pt>
                <c:pt idx="24">
                  <c:v>7.5174281353479283E-2</c:v>
                </c:pt>
                <c:pt idx="25">
                  <c:v>6.0932003472117968E-2</c:v>
                </c:pt>
                <c:pt idx="26">
                  <c:v>5.3833415955094575E-2</c:v>
                </c:pt>
              </c:numCache>
            </c:numRef>
          </c:xVal>
          <c:yVal>
            <c:numRef>
              <c:f>Sheet1!$Z$40:$Z$66</c:f>
              <c:numCache>
                <c:formatCode>0.000</c:formatCode>
                <c:ptCount val="27"/>
                <c:pt idx="0">
                  <c:v>0.8980593453764123</c:v>
                </c:pt>
                <c:pt idx="1">
                  <c:v>0.87840138247677046</c:v>
                </c:pt>
                <c:pt idx="2">
                  <c:v>0.84650462977087693</c:v>
                </c:pt>
                <c:pt idx="3">
                  <c:v>0.80357616063256665</c:v>
                </c:pt>
                <c:pt idx="4">
                  <c:v>0.7505990503523734</c:v>
                </c:pt>
                <c:pt idx="5">
                  <c:v>0.68815079228165943</c:v>
                </c:pt>
                <c:pt idx="6">
                  <c:v>0.61647583394463457</c:v>
                </c:pt>
                <c:pt idx="7">
                  <c:v>0.53618843619360357</c:v>
                </c:pt>
                <c:pt idx="8">
                  <c:v>0.44926936283065044</c:v>
                </c:pt>
                <c:pt idx="9">
                  <c:v>0.36098381168155536</c:v>
                </c:pt>
                <c:pt idx="10">
                  <c:v>0.28106976293236186</c:v>
                </c:pt>
                <c:pt idx="11">
                  <c:v>0.22338277437197074</c:v>
                </c:pt>
                <c:pt idx="12">
                  <c:v>0.20101430889531102</c:v>
                </c:pt>
                <c:pt idx="13">
                  <c:v>0.21952930452625341</c:v>
                </c:pt>
                <c:pt idx="14">
                  <c:v>0.2734457281114191</c:v>
                </c:pt>
                <c:pt idx="15">
                  <c:v>0.34992167847426114</c:v>
                </c:pt>
                <c:pt idx="16">
                  <c:v>0.43571437925912582</c:v>
                </c:pt>
                <c:pt idx="17">
                  <c:v>0.52130181571528378</c:v>
                </c:pt>
                <c:pt idx="18">
                  <c:v>0.60157851630155745</c:v>
                </c:pt>
                <c:pt idx="19">
                  <c:v>0.67429027294006993</c:v>
                </c:pt>
                <c:pt idx="20">
                  <c:v>0.73860231709802482</c:v>
                </c:pt>
                <c:pt idx="21">
                  <c:v>0.79390684658755839</c:v>
                </c:pt>
                <c:pt idx="22">
                  <c:v>0.83934883185057518</c:v>
                </c:pt>
                <c:pt idx="23">
                  <c:v>0.87373439120859264</c:v>
                </c:pt>
                <c:pt idx="24">
                  <c:v>0.8957306798540523</c:v>
                </c:pt>
                <c:pt idx="25">
                  <c:v>0.90433868021696373</c:v>
                </c:pt>
                <c:pt idx="26">
                  <c:v>0.90347281095198129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B0-4F2D-8B93-A74C16B0C178}"/>
            </c:ext>
          </c:extLst>
        </c:ser>
        <c:ser>
          <c:idx val="3"/>
          <c:order val="3"/>
          <c:tx>
            <c:v>Analemma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Sheet1!$K$40:$K$96</c:f>
              <c:numCache>
                <c:formatCode>0.0000</c:formatCode>
                <c:ptCount val="57"/>
                <c:pt idx="0">
                  <c:v>2.0823878114275895E-2</c:v>
                </c:pt>
                <c:pt idx="1">
                  <c:v>3.8753769826228919E-2</c:v>
                </c:pt>
                <c:pt idx="2">
                  <c:v>5.972544214236946E-2</c:v>
                </c:pt>
                <c:pt idx="3">
                  <c:v>7.4408570382163849E-2</c:v>
                </c:pt>
                <c:pt idx="4">
                  <c:v>8.8323944682306879E-2</c:v>
                </c:pt>
                <c:pt idx="5">
                  <c:v>9.3328150433194978E-2</c:v>
                </c:pt>
                <c:pt idx="6">
                  <c:v>9.0901410168807553E-2</c:v>
                </c:pt>
                <c:pt idx="7">
                  <c:v>8.2485803384410084E-2</c:v>
                </c:pt>
                <c:pt idx="8">
                  <c:v>6.947555899623703E-2</c:v>
                </c:pt>
                <c:pt idx="9">
                  <c:v>5.1451849423539392E-2</c:v>
                </c:pt>
                <c:pt idx="10">
                  <c:v>4.7579704658204255E-2</c:v>
                </c:pt>
                <c:pt idx="11">
                  <c:v>4.3659771095582556E-2</c:v>
                </c:pt>
                <c:pt idx="12">
                  <c:v>2.7853185845581913E-2</c:v>
                </c:pt>
                <c:pt idx="13">
                  <c:v>1.4491455302709882E-2</c:v>
                </c:pt>
                <c:pt idx="14">
                  <c:v>2.2929327424968684E-3</c:v>
                </c:pt>
                <c:pt idx="15">
                  <c:v>-8.1213317913461525E-3</c:v>
                </c:pt>
                <c:pt idx="16">
                  <c:v>-1.8058633526037374E-2</c:v>
                </c:pt>
                <c:pt idx="17">
                  <c:v>-2.3387888040957896E-2</c:v>
                </c:pt>
                <c:pt idx="18">
                  <c:v>-2.3482870291107034E-2</c:v>
                </c:pt>
                <c:pt idx="19">
                  <c:v>-1.5952687426764027E-2</c:v>
                </c:pt>
                <c:pt idx="20">
                  <c:v>-8.4425236556784061E-3</c:v>
                </c:pt>
                <c:pt idx="21">
                  <c:v>5.8297676506483074E-4</c:v>
                </c:pt>
                <c:pt idx="22">
                  <c:v>7.520923956771371E-3</c:v>
                </c:pt>
                <c:pt idx="23">
                  <c:v>1.0329476680511193E-2</c:v>
                </c:pt>
                <c:pt idx="24">
                  <c:v>1.3126462399338828E-2</c:v>
                </c:pt>
                <c:pt idx="25">
                  <c:v>1.8604166440316535E-2</c:v>
                </c:pt>
                <c:pt idx="26">
                  <c:v>2.2531776416669032E-2</c:v>
                </c:pt>
                <c:pt idx="27">
                  <c:v>3.2706132170369523E-2</c:v>
                </c:pt>
                <c:pt idx="28">
                  <c:v>3.9779101451860935E-2</c:v>
                </c:pt>
                <c:pt idx="29">
                  <c:v>4.0487814778231906E-2</c:v>
                </c:pt>
                <c:pt idx="30">
                  <c:v>3.6596814969748689E-2</c:v>
                </c:pt>
                <c:pt idx="31">
                  <c:v>2.9597469372975055E-2</c:v>
                </c:pt>
                <c:pt idx="32">
                  <c:v>2.2833414464825685E-2</c:v>
                </c:pt>
                <c:pt idx="33">
                  <c:v>1.6468851820926955E-2</c:v>
                </c:pt>
                <c:pt idx="34">
                  <c:v>1.1196461239390554E-2</c:v>
                </c:pt>
                <c:pt idx="35">
                  <c:v>1.5835656138855261E-3</c:v>
                </c:pt>
                <c:pt idx="36">
                  <c:v>-1.3241294920263979E-2</c:v>
                </c:pt>
                <c:pt idx="37">
                  <c:v>-2.9064886334515004E-2</c:v>
                </c:pt>
                <c:pt idx="38">
                  <c:v>-4.5176556039205847E-2</c:v>
                </c:pt>
                <c:pt idx="39">
                  <c:v>-5.4226300023796158E-2</c:v>
                </c:pt>
                <c:pt idx="40">
                  <c:v>-6.5112328811964604E-2</c:v>
                </c:pt>
                <c:pt idx="41">
                  <c:v>-7.9061415887625552E-2</c:v>
                </c:pt>
                <c:pt idx="42">
                  <c:v>-9.0832522443933375E-2</c:v>
                </c:pt>
                <c:pt idx="43">
                  <c:v>-9.9725575484824955E-2</c:v>
                </c:pt>
                <c:pt idx="44">
                  <c:v>-0.10622548710898544</c:v>
                </c:pt>
                <c:pt idx="45">
                  <c:v>-0.10577489677850518</c:v>
                </c:pt>
                <c:pt idx="46">
                  <c:v>-0.1008854849367784</c:v>
                </c:pt>
                <c:pt idx="47">
                  <c:v>-9.1526484465673658E-2</c:v>
                </c:pt>
                <c:pt idx="48">
                  <c:v>-7.3342982236062226E-2</c:v>
                </c:pt>
                <c:pt idx="49">
                  <c:v>-5.5130344775651811E-2</c:v>
                </c:pt>
                <c:pt idx="50">
                  <c:v>-3.4306163737250941E-2</c:v>
                </c:pt>
                <c:pt idx="51">
                  <c:v>-1.8439214469799761E-2</c:v>
                </c:pt>
                <c:pt idx="52">
                  <c:v>-1.1976350405959593E-2</c:v>
                </c:pt>
                <c:pt idx="53">
                  <c:v>-5.4913567314071295E-3</c:v>
                </c:pt>
                <c:pt idx="54">
                  <c:v>9.8603324535884141E-4</c:v>
                </c:pt>
                <c:pt idx="55">
                  <c:v>7.4261927612377619E-3</c:v>
                </c:pt>
                <c:pt idx="56">
                  <c:v>1.695269604384033E-2</c:v>
                </c:pt>
              </c:numCache>
            </c:numRef>
          </c:xVal>
          <c:yVal>
            <c:numRef>
              <c:f>Sheet1!$L$40:$L$96</c:f>
              <c:numCache>
                <c:formatCode>0.0000</c:formatCode>
                <c:ptCount val="57"/>
                <c:pt idx="0">
                  <c:v>-0.57198406866946139</c:v>
                </c:pt>
                <c:pt idx="1">
                  <c:v>-0.5513952873499901</c:v>
                </c:pt>
                <c:pt idx="2">
                  <c:v>-0.52133604142981826</c:v>
                </c:pt>
                <c:pt idx="3">
                  <c:v>-0.4829253209001611</c:v>
                </c:pt>
                <c:pt idx="4">
                  <c:v>-0.41605876594507996</c:v>
                </c:pt>
                <c:pt idx="5">
                  <c:v>-0.34655153085422619</c:v>
                </c:pt>
                <c:pt idx="6">
                  <c:v>-0.26172137550300062</c:v>
                </c:pt>
                <c:pt idx="7">
                  <c:v>-0.18174171733134223</c:v>
                </c:pt>
                <c:pt idx="8">
                  <c:v>-9.9150638491686996E-2</c:v>
                </c:pt>
                <c:pt idx="9">
                  <c:v>6.2739092375485297E-3</c:v>
                </c:pt>
                <c:pt idx="10">
                  <c:v>1.2289595187444085E-2</c:v>
                </c:pt>
                <c:pt idx="11">
                  <c:v>3.0834263434641827E-2</c:v>
                </c:pt>
                <c:pt idx="12">
                  <c:v>0.10442056449405286</c:v>
                </c:pt>
                <c:pt idx="13">
                  <c:v>0.16769231078419336</c:v>
                </c:pt>
                <c:pt idx="14">
                  <c:v>0.22935589808724774</c:v>
                </c:pt>
                <c:pt idx="15">
                  <c:v>0.28874766734967139</c:v>
                </c:pt>
                <c:pt idx="16">
                  <c:v>0.36056754272267655</c:v>
                </c:pt>
                <c:pt idx="17">
                  <c:v>0.42573160889065231</c:v>
                </c:pt>
                <c:pt idx="18">
                  <c:v>0.48789057550558856</c:v>
                </c:pt>
                <c:pt idx="19">
                  <c:v>0.54430165123825081</c:v>
                </c:pt>
                <c:pt idx="20">
                  <c:v>0.56640852445079726</c:v>
                </c:pt>
                <c:pt idx="21">
                  <c:v>0.57961956004239878</c:v>
                </c:pt>
                <c:pt idx="22">
                  <c:v>0.58338352751023603</c:v>
                </c:pt>
                <c:pt idx="23">
                  <c:v>0.58352308106370288</c:v>
                </c:pt>
                <c:pt idx="24">
                  <c:v>0.58293702704441985</c:v>
                </c:pt>
                <c:pt idx="25">
                  <c:v>0.57945245013816182</c:v>
                </c:pt>
                <c:pt idx="26">
                  <c:v>0.57480724830170116</c:v>
                </c:pt>
                <c:pt idx="27">
                  <c:v>0.55114835154772124</c:v>
                </c:pt>
                <c:pt idx="28">
                  <c:v>0.5088640492159523</c:v>
                </c:pt>
                <c:pt idx="29">
                  <c:v>0.43947124107474006</c:v>
                </c:pt>
                <c:pt idx="30">
                  <c:v>0.39139528443265986</c:v>
                </c:pt>
                <c:pt idx="31">
                  <c:v>0.33887030829204567</c:v>
                </c:pt>
                <c:pt idx="32">
                  <c:v>0.29916103929746951</c:v>
                </c:pt>
                <c:pt idx="33">
                  <c:v>0.2662843958437105</c:v>
                </c:pt>
                <c:pt idx="34">
                  <c:v>0.2411002033361338</c:v>
                </c:pt>
                <c:pt idx="35">
                  <c:v>0.19815817445593426</c:v>
                </c:pt>
                <c:pt idx="36">
                  <c:v>0.13651622328468382</c:v>
                </c:pt>
                <c:pt idx="37">
                  <c:v>7.3573656764549078E-2</c:v>
                </c:pt>
                <c:pt idx="38">
                  <c:v>9.8691760445797482E-3</c:v>
                </c:pt>
                <c:pt idx="39">
                  <c:v>-2.6720298462986621E-2</c:v>
                </c:pt>
                <c:pt idx="40">
                  <c:v>-7.2442454310446339E-2</c:v>
                </c:pt>
                <c:pt idx="41">
                  <c:v>-0.13623135870570863</c:v>
                </c:pt>
                <c:pt idx="42">
                  <c:v>-0.1991185397267547</c:v>
                </c:pt>
                <c:pt idx="43">
                  <c:v>-0.26052667895127024</c:v>
                </c:pt>
                <c:pt idx="44">
                  <c:v>-0.34409726426879989</c:v>
                </c:pt>
                <c:pt idx="45">
                  <c:v>-0.39846421504697083</c:v>
                </c:pt>
                <c:pt idx="46">
                  <c:v>-0.44806795146224965</c:v>
                </c:pt>
                <c:pt idx="47">
                  <c:v>-0.49180199145728887</c:v>
                </c:pt>
                <c:pt idx="48">
                  <c:v>-0.53720665698577064</c:v>
                </c:pt>
                <c:pt idx="49">
                  <c:v>-0.56267856962038998</c:v>
                </c:pt>
                <c:pt idx="50">
                  <c:v>-0.57836660266750495</c:v>
                </c:pt>
                <c:pt idx="51">
                  <c:v>-0.58321607717682167</c:v>
                </c:pt>
                <c:pt idx="52">
                  <c:v>-0.58357890544090263</c:v>
                </c:pt>
                <c:pt idx="53">
                  <c:v>-0.58310445206143047</c:v>
                </c:pt>
                <c:pt idx="54">
                  <c:v>-0.58176547670559287</c:v>
                </c:pt>
                <c:pt idx="55">
                  <c:v>-0.57959170734540644</c:v>
                </c:pt>
                <c:pt idx="56">
                  <c:v>-0.57461279223756501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4B0-4F2D-8B93-A74C16B0C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583728"/>
        <c:axId val="458584056"/>
      </c:scatterChart>
      <c:valAx>
        <c:axId val="45858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584056"/>
        <c:crosses val="autoZero"/>
        <c:crossBetween val="midCat"/>
      </c:valAx>
      <c:valAx>
        <c:axId val="458584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583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380999</xdr:colOff>
      <xdr:row>18</xdr:row>
      <xdr:rowOff>95251</xdr:rowOff>
    </xdr:from>
    <xdr:to>
      <xdr:col>16</xdr:col>
      <xdr:colOff>219074</xdr:colOff>
      <xdr:row>19</xdr:row>
      <xdr:rowOff>104776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58724" y="3819526"/>
          <a:ext cx="5619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900" b="1">
              <a:latin typeface="Arial" pitchFamily="34" charset="0"/>
              <a:cs typeface="Arial" pitchFamily="34" charset="0"/>
            </a:rPr>
            <a:t>1 Feb</a:t>
          </a:r>
        </a:p>
      </xdr:txBody>
    </xdr:sp>
    <xdr:clientData/>
  </xdr:twoCellAnchor>
  <xdr:twoCellAnchor>
    <xdr:from>
      <xdr:col>15</xdr:col>
      <xdr:colOff>342900</xdr:colOff>
      <xdr:row>16</xdr:row>
      <xdr:rowOff>28576</xdr:rowOff>
    </xdr:from>
    <xdr:to>
      <xdr:col>16</xdr:col>
      <xdr:colOff>152400</xdr:colOff>
      <xdr:row>17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620625" y="3352801"/>
          <a:ext cx="533400" cy="2476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900" b="1">
              <a:latin typeface="Arial" pitchFamily="34" charset="0"/>
              <a:cs typeface="Arial" pitchFamily="34" charset="0"/>
            </a:rPr>
            <a:t>1 Mar</a:t>
          </a:r>
        </a:p>
      </xdr:txBody>
    </xdr:sp>
    <xdr:clientData/>
  </xdr:twoCellAnchor>
  <xdr:twoCellAnchor>
    <xdr:from>
      <xdr:col>15</xdr:col>
      <xdr:colOff>238125</xdr:colOff>
      <xdr:row>13</xdr:row>
      <xdr:rowOff>66675</xdr:rowOff>
    </xdr:from>
    <xdr:to>
      <xdr:col>16</xdr:col>
      <xdr:colOff>28575</xdr:colOff>
      <xdr:row>14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515850" y="2790825"/>
          <a:ext cx="5143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900" b="1">
              <a:latin typeface="Arial" pitchFamily="34" charset="0"/>
              <a:cs typeface="Arial" pitchFamily="34" charset="0"/>
            </a:rPr>
            <a:t>1 Apr</a:t>
          </a:r>
        </a:p>
      </xdr:txBody>
    </xdr:sp>
    <xdr:clientData/>
  </xdr:twoCellAnchor>
  <xdr:twoCellAnchor>
    <xdr:from>
      <xdr:col>14</xdr:col>
      <xdr:colOff>85726</xdr:colOff>
      <xdr:row>10</xdr:row>
      <xdr:rowOff>142875</xdr:rowOff>
    </xdr:from>
    <xdr:to>
      <xdr:col>14</xdr:col>
      <xdr:colOff>590550</xdr:colOff>
      <xdr:row>12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668126" y="2266950"/>
          <a:ext cx="504824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900" b="1">
              <a:latin typeface="Arial" pitchFamily="34" charset="0"/>
              <a:cs typeface="Arial" pitchFamily="34" charset="0"/>
            </a:rPr>
            <a:t>1 May</a:t>
          </a:r>
        </a:p>
      </xdr:txBody>
    </xdr:sp>
    <xdr:clientData/>
  </xdr:twoCellAnchor>
  <xdr:twoCellAnchor>
    <xdr:from>
      <xdr:col>14</xdr:col>
      <xdr:colOff>142875</xdr:colOff>
      <xdr:row>9</xdr:row>
      <xdr:rowOff>57150</xdr:rowOff>
    </xdr:from>
    <xdr:to>
      <xdr:col>14</xdr:col>
      <xdr:colOff>647700</xdr:colOff>
      <xdr:row>10</xdr:row>
      <xdr:rowOff>123826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725275" y="1990725"/>
          <a:ext cx="504825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900" b="1">
              <a:latin typeface="Arial" pitchFamily="34" charset="0"/>
              <a:cs typeface="Arial" pitchFamily="34" charset="0"/>
            </a:rPr>
            <a:t>1 Jun</a:t>
          </a:r>
        </a:p>
      </xdr:txBody>
    </xdr:sp>
    <xdr:clientData/>
  </xdr:twoCellAnchor>
  <xdr:twoCellAnchor>
    <xdr:from>
      <xdr:col>15</xdr:col>
      <xdr:colOff>371474</xdr:colOff>
      <xdr:row>10</xdr:row>
      <xdr:rowOff>133351</xdr:rowOff>
    </xdr:from>
    <xdr:to>
      <xdr:col>16</xdr:col>
      <xdr:colOff>152399</xdr:colOff>
      <xdr:row>11</xdr:row>
      <xdr:rowOff>123826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649199" y="2257426"/>
          <a:ext cx="5048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900" b="1">
              <a:latin typeface="Arial" pitchFamily="34" charset="0"/>
              <a:cs typeface="Arial" pitchFamily="34" charset="0"/>
            </a:rPr>
            <a:t>1 Aug</a:t>
          </a:r>
        </a:p>
      </xdr:txBody>
    </xdr:sp>
    <xdr:clientData/>
  </xdr:twoCellAnchor>
  <xdr:twoCellAnchor>
    <xdr:from>
      <xdr:col>14</xdr:col>
      <xdr:colOff>142875</xdr:colOff>
      <xdr:row>12</xdr:row>
      <xdr:rowOff>0</xdr:rowOff>
    </xdr:from>
    <xdr:to>
      <xdr:col>14</xdr:col>
      <xdr:colOff>666750</xdr:colOff>
      <xdr:row>12</xdr:row>
      <xdr:rowOff>190500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725275" y="2524125"/>
          <a:ext cx="5238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900" b="1">
              <a:latin typeface="Arial" pitchFamily="34" charset="0"/>
              <a:cs typeface="Arial" pitchFamily="34" charset="0"/>
            </a:rPr>
            <a:t>1 Sep</a:t>
          </a:r>
        </a:p>
      </xdr:txBody>
    </xdr:sp>
    <xdr:clientData/>
  </xdr:twoCellAnchor>
  <xdr:oneCellAnchor>
    <xdr:from>
      <xdr:col>22</xdr:col>
      <xdr:colOff>104775</xdr:colOff>
      <xdr:row>13</xdr:row>
      <xdr:rowOff>123825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7021175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ZA" sz="1100"/>
        </a:p>
      </xdr:txBody>
    </xdr:sp>
    <xdr:clientData/>
  </xdr:oneCellAnchor>
  <xdr:twoCellAnchor>
    <xdr:from>
      <xdr:col>14</xdr:col>
      <xdr:colOff>9524</xdr:colOff>
      <xdr:row>17</xdr:row>
      <xdr:rowOff>1</xdr:rowOff>
    </xdr:from>
    <xdr:to>
      <xdr:col>14</xdr:col>
      <xdr:colOff>514350</xdr:colOff>
      <xdr:row>18</xdr:row>
      <xdr:rowOff>28575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591924" y="3524251"/>
          <a:ext cx="504826" cy="228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/>
            <a:t>1 </a:t>
          </a:r>
          <a:r>
            <a:rPr lang="en-ZA" sz="900" b="1">
              <a:latin typeface="Arial" pitchFamily="34" charset="0"/>
              <a:cs typeface="Arial" pitchFamily="34" charset="0"/>
            </a:rPr>
            <a:t>Nov</a:t>
          </a:r>
        </a:p>
      </xdr:txBody>
    </xdr:sp>
    <xdr:clientData/>
  </xdr:twoCellAnchor>
  <xdr:twoCellAnchor>
    <xdr:from>
      <xdr:col>14</xdr:col>
      <xdr:colOff>133349</xdr:colOff>
      <xdr:row>19</xdr:row>
      <xdr:rowOff>161925</xdr:rowOff>
    </xdr:from>
    <xdr:to>
      <xdr:col>14</xdr:col>
      <xdr:colOff>638174</xdr:colOff>
      <xdr:row>21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715749" y="4086225"/>
          <a:ext cx="5048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900" b="1" baseline="0">
              <a:latin typeface="Arial" pitchFamily="34" charset="0"/>
              <a:cs typeface="Arial" pitchFamily="34" charset="0"/>
            </a:rPr>
            <a:t>1 </a:t>
          </a:r>
          <a:r>
            <a:rPr lang="en-ZA" sz="900" b="1">
              <a:latin typeface="Arial" pitchFamily="34" charset="0"/>
              <a:cs typeface="Arial" pitchFamily="34" charset="0"/>
            </a:rPr>
            <a:t>Dec</a:t>
          </a:r>
        </a:p>
      </xdr:txBody>
    </xdr:sp>
    <xdr:clientData/>
  </xdr:twoCellAnchor>
  <xdr:twoCellAnchor>
    <xdr:from>
      <xdr:col>12</xdr:col>
      <xdr:colOff>561975</xdr:colOff>
      <xdr:row>21</xdr:row>
      <xdr:rowOff>114300</xdr:rowOff>
    </xdr:from>
    <xdr:to>
      <xdr:col>13</xdr:col>
      <xdr:colOff>542925</xdr:colOff>
      <xdr:row>22</xdr:row>
      <xdr:rowOff>152401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810875" y="4438650"/>
          <a:ext cx="590550" cy="238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itchFamily="34" charset="0"/>
              <a:cs typeface="Arial" pitchFamily="34" charset="0"/>
            </a:rPr>
            <a:t>10h00</a:t>
          </a:r>
        </a:p>
      </xdr:txBody>
    </xdr:sp>
    <xdr:clientData/>
  </xdr:twoCellAnchor>
  <xdr:twoCellAnchor>
    <xdr:from>
      <xdr:col>13</xdr:col>
      <xdr:colOff>523875</xdr:colOff>
      <xdr:row>21</xdr:row>
      <xdr:rowOff>190501</xdr:rowOff>
    </xdr:from>
    <xdr:to>
      <xdr:col>14</xdr:col>
      <xdr:colOff>390525</xdr:colOff>
      <xdr:row>23</xdr:row>
      <xdr:rowOff>19051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382375" y="4514851"/>
          <a:ext cx="59055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itchFamily="34" charset="0"/>
              <a:cs typeface="Arial" pitchFamily="34" charset="0"/>
            </a:rPr>
            <a:t>11h00</a:t>
          </a:r>
        </a:p>
      </xdr:txBody>
    </xdr:sp>
    <xdr:clientData/>
  </xdr:twoCellAnchor>
  <xdr:twoCellAnchor>
    <xdr:from>
      <xdr:col>14</xdr:col>
      <xdr:colOff>428624</xdr:colOff>
      <xdr:row>22</xdr:row>
      <xdr:rowOff>0</xdr:rowOff>
    </xdr:from>
    <xdr:to>
      <xdr:col>15</xdr:col>
      <xdr:colOff>314324</xdr:colOff>
      <xdr:row>22</xdr:row>
      <xdr:rowOff>190500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011024" y="4524375"/>
          <a:ext cx="58102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itchFamily="34" charset="0"/>
              <a:cs typeface="Arial" pitchFamily="34" charset="0"/>
            </a:rPr>
            <a:t>12h00</a:t>
          </a:r>
        </a:p>
      </xdr:txBody>
    </xdr:sp>
    <xdr:clientData/>
  </xdr:twoCellAnchor>
  <xdr:twoCellAnchor>
    <xdr:from>
      <xdr:col>15</xdr:col>
      <xdr:colOff>466725</xdr:colOff>
      <xdr:row>22</xdr:row>
      <xdr:rowOff>19051</xdr:rowOff>
    </xdr:from>
    <xdr:to>
      <xdr:col>16</xdr:col>
      <xdr:colOff>361950</xdr:colOff>
      <xdr:row>23</xdr:row>
      <xdr:rowOff>28576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2744450" y="4543426"/>
          <a:ext cx="6191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itchFamily="34" charset="0"/>
              <a:cs typeface="Arial" pitchFamily="34" charset="0"/>
            </a:rPr>
            <a:t>13h00</a:t>
          </a:r>
        </a:p>
      </xdr:txBody>
    </xdr:sp>
    <xdr:clientData/>
  </xdr:twoCellAnchor>
  <xdr:twoCellAnchor>
    <xdr:from>
      <xdr:col>16</xdr:col>
      <xdr:colOff>266700</xdr:colOff>
      <xdr:row>21</xdr:row>
      <xdr:rowOff>114299</xdr:rowOff>
    </xdr:from>
    <xdr:to>
      <xdr:col>17</xdr:col>
      <xdr:colOff>209550</xdr:colOff>
      <xdr:row>22</xdr:row>
      <xdr:rowOff>114299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3268325" y="4438649"/>
          <a:ext cx="5524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itchFamily="34" charset="0"/>
              <a:cs typeface="Arial" pitchFamily="34" charset="0"/>
            </a:rPr>
            <a:t>14h00</a:t>
          </a:r>
        </a:p>
      </xdr:txBody>
    </xdr:sp>
    <xdr:clientData/>
  </xdr:twoCellAnchor>
  <xdr:twoCellAnchor>
    <xdr:from>
      <xdr:col>17</xdr:col>
      <xdr:colOff>295275</xdr:colOff>
      <xdr:row>20</xdr:row>
      <xdr:rowOff>123825</xdr:rowOff>
    </xdr:from>
    <xdr:to>
      <xdr:col>18</xdr:col>
      <xdr:colOff>47625</xdr:colOff>
      <xdr:row>21</xdr:row>
      <xdr:rowOff>133350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3906500" y="4248150"/>
          <a:ext cx="5429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itchFamily="34" charset="0"/>
              <a:cs typeface="Arial" pitchFamily="34" charset="0"/>
            </a:rPr>
            <a:t>15h00</a:t>
          </a:r>
        </a:p>
      </xdr:txBody>
    </xdr:sp>
    <xdr:clientData/>
  </xdr:twoCellAnchor>
  <xdr:twoCellAnchor>
    <xdr:from>
      <xdr:col>18</xdr:col>
      <xdr:colOff>19050</xdr:colOff>
      <xdr:row>19</xdr:row>
      <xdr:rowOff>28576</xdr:rowOff>
    </xdr:from>
    <xdr:to>
      <xdr:col>19</xdr:col>
      <xdr:colOff>9525</xdr:colOff>
      <xdr:row>20</xdr:row>
      <xdr:rowOff>104775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4420850" y="3952876"/>
          <a:ext cx="600075" cy="276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itchFamily="34" charset="0"/>
              <a:cs typeface="Arial" pitchFamily="34" charset="0"/>
            </a:rPr>
            <a:t>16h00</a:t>
          </a:r>
        </a:p>
      </xdr:txBody>
    </xdr:sp>
    <xdr:clientData/>
  </xdr:twoCellAnchor>
  <xdr:twoCellAnchor>
    <xdr:from>
      <xdr:col>17</xdr:col>
      <xdr:colOff>323850</xdr:colOff>
      <xdr:row>16</xdr:row>
      <xdr:rowOff>180975</xdr:rowOff>
    </xdr:from>
    <xdr:to>
      <xdr:col>18</xdr:col>
      <xdr:colOff>104774</xdr:colOff>
      <xdr:row>18</xdr:row>
      <xdr:rowOff>57150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3935075" y="3505200"/>
          <a:ext cx="571499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itchFamily="34" charset="0"/>
              <a:cs typeface="Arial" pitchFamily="34" charset="0"/>
            </a:rPr>
            <a:t>17h00</a:t>
          </a:r>
        </a:p>
      </xdr:txBody>
    </xdr:sp>
    <xdr:clientData/>
  </xdr:twoCellAnchor>
  <xdr:twoCellAnchor>
    <xdr:from>
      <xdr:col>17</xdr:col>
      <xdr:colOff>390525</xdr:colOff>
      <xdr:row>15</xdr:row>
      <xdr:rowOff>123824</xdr:rowOff>
    </xdr:from>
    <xdr:to>
      <xdr:col>18</xdr:col>
      <xdr:colOff>171450</xdr:colOff>
      <xdr:row>16</xdr:row>
      <xdr:rowOff>152400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4001750" y="3248024"/>
          <a:ext cx="571500" cy="228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itchFamily="34" charset="0"/>
              <a:cs typeface="Arial" pitchFamily="34" charset="0"/>
            </a:rPr>
            <a:t>18h00</a:t>
          </a:r>
        </a:p>
      </xdr:txBody>
    </xdr:sp>
    <xdr:clientData/>
  </xdr:twoCellAnchor>
  <xdr:twoCellAnchor>
    <xdr:from>
      <xdr:col>11</xdr:col>
      <xdr:colOff>895349</xdr:colOff>
      <xdr:row>2</xdr:row>
      <xdr:rowOff>209549</xdr:rowOff>
    </xdr:from>
    <xdr:to>
      <xdr:col>22</xdr:col>
      <xdr:colOff>47624</xdr:colOff>
      <xdr:row>26</xdr:row>
      <xdr:rowOff>9524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5EC416E-DF2C-49EF-A930-6728B34DF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323850</xdr:colOff>
      <xdr:row>19</xdr:row>
      <xdr:rowOff>28575</xdr:rowOff>
    </xdr:from>
    <xdr:to>
      <xdr:col>13</xdr:col>
      <xdr:colOff>257175</xdr:colOff>
      <xdr:row>20</xdr:row>
      <xdr:rowOff>76200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69715A4-3DC2-4966-BADA-26160B3BC350}"/>
            </a:ext>
          </a:extLst>
        </xdr:cNvPr>
        <xdr:cNvSpPr txBox="1"/>
      </xdr:nvSpPr>
      <xdr:spPr>
        <a:xfrm>
          <a:off x="10572750" y="3962400"/>
          <a:ext cx="54292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08h00</a:t>
          </a:r>
        </a:p>
      </xdr:txBody>
    </xdr:sp>
    <xdr:clientData/>
  </xdr:twoCellAnchor>
  <xdr:twoCellAnchor>
    <xdr:from>
      <xdr:col>16</xdr:col>
      <xdr:colOff>76199</xdr:colOff>
      <xdr:row>23</xdr:row>
      <xdr:rowOff>133350</xdr:rowOff>
    </xdr:from>
    <xdr:to>
      <xdr:col>17</xdr:col>
      <xdr:colOff>47625</xdr:colOff>
      <xdr:row>24</xdr:row>
      <xdr:rowOff>123824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E594110-1DC4-4DA9-8607-1097DCE98A16}"/>
            </a:ext>
          </a:extLst>
        </xdr:cNvPr>
        <xdr:cNvSpPr txBox="1"/>
      </xdr:nvSpPr>
      <xdr:spPr>
        <a:xfrm>
          <a:off x="13077824" y="4867275"/>
          <a:ext cx="581026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12h00</a:t>
          </a:r>
        </a:p>
      </xdr:txBody>
    </xdr:sp>
    <xdr:clientData/>
  </xdr:twoCellAnchor>
  <xdr:twoCellAnchor>
    <xdr:from>
      <xdr:col>17</xdr:col>
      <xdr:colOff>228600</xdr:colOff>
      <xdr:row>23</xdr:row>
      <xdr:rowOff>66675</xdr:rowOff>
    </xdr:from>
    <xdr:to>
      <xdr:col>18</xdr:col>
      <xdr:colOff>1</xdr:colOff>
      <xdr:row>24</xdr:row>
      <xdr:rowOff>38100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A5B31D7-E037-449B-9951-4354628A6371}"/>
            </a:ext>
          </a:extLst>
        </xdr:cNvPr>
        <xdr:cNvSpPr txBox="1"/>
      </xdr:nvSpPr>
      <xdr:spPr>
        <a:xfrm>
          <a:off x="13839825" y="4800600"/>
          <a:ext cx="561976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13h00</a:t>
          </a:r>
        </a:p>
      </xdr:txBody>
    </xdr:sp>
    <xdr:clientData/>
  </xdr:twoCellAnchor>
  <xdr:twoCellAnchor>
    <xdr:from>
      <xdr:col>18</xdr:col>
      <xdr:colOff>114300</xdr:colOff>
      <xdr:row>22</xdr:row>
      <xdr:rowOff>123825</xdr:rowOff>
    </xdr:from>
    <xdr:to>
      <xdr:col>19</xdr:col>
      <xdr:colOff>114300</xdr:colOff>
      <xdr:row>23</xdr:row>
      <xdr:rowOff>171450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66D6976-DD02-414B-93DC-0C8EBD1AAC23}"/>
            </a:ext>
          </a:extLst>
        </xdr:cNvPr>
        <xdr:cNvSpPr txBox="1"/>
      </xdr:nvSpPr>
      <xdr:spPr>
        <a:xfrm>
          <a:off x="14516100" y="4657725"/>
          <a:ext cx="60960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14h00</a:t>
          </a:r>
        </a:p>
      </xdr:txBody>
    </xdr:sp>
    <xdr:clientData/>
  </xdr:twoCellAnchor>
  <xdr:twoCellAnchor>
    <xdr:from>
      <xdr:col>19</xdr:col>
      <xdr:colOff>219075</xdr:colOff>
      <xdr:row>21</xdr:row>
      <xdr:rowOff>85724</xdr:rowOff>
    </xdr:from>
    <xdr:to>
      <xdr:col>20</xdr:col>
      <xdr:colOff>180975</xdr:colOff>
      <xdr:row>22</xdr:row>
      <xdr:rowOff>142874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3D13CB0-E0DA-4EC3-A9F3-247902367961}"/>
            </a:ext>
          </a:extLst>
        </xdr:cNvPr>
        <xdr:cNvSpPr txBox="1"/>
      </xdr:nvSpPr>
      <xdr:spPr>
        <a:xfrm>
          <a:off x="15230475" y="4419599"/>
          <a:ext cx="571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15h00</a:t>
          </a:r>
        </a:p>
      </xdr:txBody>
    </xdr:sp>
    <xdr:clientData/>
  </xdr:twoCellAnchor>
  <xdr:twoCellAnchor>
    <xdr:from>
      <xdr:col>20</xdr:col>
      <xdr:colOff>0</xdr:colOff>
      <xdr:row>19</xdr:row>
      <xdr:rowOff>161925</xdr:rowOff>
    </xdr:from>
    <xdr:to>
      <xdr:col>20</xdr:col>
      <xdr:colOff>542925</xdr:colOff>
      <xdr:row>20</xdr:row>
      <xdr:rowOff>152400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B44CE6F-2129-46BD-A986-B4E36B73176A}"/>
            </a:ext>
          </a:extLst>
        </xdr:cNvPr>
        <xdr:cNvSpPr txBox="1"/>
      </xdr:nvSpPr>
      <xdr:spPr>
        <a:xfrm>
          <a:off x="15621000" y="4095750"/>
          <a:ext cx="54292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16h00</a:t>
          </a:r>
        </a:p>
      </xdr:txBody>
    </xdr:sp>
    <xdr:clientData/>
  </xdr:twoCellAnchor>
  <xdr:twoCellAnchor>
    <xdr:from>
      <xdr:col>20</xdr:col>
      <xdr:colOff>304799</xdr:colOff>
      <xdr:row>17</xdr:row>
      <xdr:rowOff>152400</xdr:rowOff>
    </xdr:from>
    <xdr:to>
      <xdr:col>21</xdr:col>
      <xdr:colOff>276224</xdr:colOff>
      <xdr:row>18</xdr:row>
      <xdr:rowOff>123825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DB71D59-8F1A-4D05-B066-EFE811A9FA3F}"/>
            </a:ext>
          </a:extLst>
        </xdr:cNvPr>
        <xdr:cNvSpPr txBox="1"/>
      </xdr:nvSpPr>
      <xdr:spPr>
        <a:xfrm>
          <a:off x="15925799" y="3686175"/>
          <a:ext cx="581025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17h00</a:t>
          </a:r>
        </a:p>
      </xdr:txBody>
    </xdr:sp>
    <xdr:clientData/>
  </xdr:twoCellAnchor>
  <xdr:twoCellAnchor>
    <xdr:from>
      <xdr:col>20</xdr:col>
      <xdr:colOff>400049</xdr:colOff>
      <xdr:row>15</xdr:row>
      <xdr:rowOff>133349</xdr:rowOff>
    </xdr:from>
    <xdr:to>
      <xdr:col>21</xdr:col>
      <xdr:colOff>466724</xdr:colOff>
      <xdr:row>16</xdr:row>
      <xdr:rowOff>171449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81963E6-2E6F-4C5C-806B-A00AFF357F94}"/>
            </a:ext>
          </a:extLst>
        </xdr:cNvPr>
        <xdr:cNvSpPr txBox="1"/>
      </xdr:nvSpPr>
      <xdr:spPr>
        <a:xfrm>
          <a:off x="16021049" y="3267074"/>
          <a:ext cx="6762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18h00</a:t>
          </a:r>
        </a:p>
      </xdr:txBody>
    </xdr:sp>
    <xdr:clientData/>
  </xdr:twoCellAnchor>
  <xdr:twoCellAnchor>
    <xdr:from>
      <xdr:col>14</xdr:col>
      <xdr:colOff>504824</xdr:colOff>
      <xdr:row>5</xdr:row>
      <xdr:rowOff>47624</xdr:rowOff>
    </xdr:from>
    <xdr:to>
      <xdr:col>15</xdr:col>
      <xdr:colOff>371474</xdr:colOff>
      <xdr:row>6</xdr:row>
      <xdr:rowOff>95249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9909CEE-B119-4344-8629-42A47ADEEC23}"/>
            </a:ext>
          </a:extLst>
        </xdr:cNvPr>
        <xdr:cNvSpPr txBox="1"/>
      </xdr:nvSpPr>
      <xdr:spPr>
        <a:xfrm>
          <a:off x="12087224" y="1133474"/>
          <a:ext cx="5619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10h10</a:t>
          </a:r>
        </a:p>
      </xdr:txBody>
    </xdr:sp>
    <xdr:clientData/>
  </xdr:twoCellAnchor>
  <xdr:twoCellAnchor>
    <xdr:from>
      <xdr:col>17</xdr:col>
      <xdr:colOff>85725</xdr:colOff>
      <xdr:row>6</xdr:row>
      <xdr:rowOff>38100</xdr:rowOff>
    </xdr:from>
    <xdr:to>
      <xdr:col>17</xdr:col>
      <xdr:colOff>685800</xdr:colOff>
      <xdr:row>7</xdr:row>
      <xdr:rowOff>76200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07688BF-4485-439A-ADDE-05EB637FF347}"/>
            </a:ext>
          </a:extLst>
        </xdr:cNvPr>
        <xdr:cNvSpPr txBox="1"/>
      </xdr:nvSpPr>
      <xdr:spPr>
        <a:xfrm>
          <a:off x="13696950" y="1333500"/>
          <a:ext cx="6000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13h10</a:t>
          </a:r>
        </a:p>
      </xdr:txBody>
    </xdr:sp>
    <xdr:clientData/>
  </xdr:twoCellAnchor>
  <xdr:twoCellAnchor>
    <xdr:from>
      <xdr:col>17</xdr:col>
      <xdr:colOff>19050</xdr:colOff>
      <xdr:row>21</xdr:row>
      <xdr:rowOff>38100</xdr:rowOff>
    </xdr:from>
    <xdr:to>
      <xdr:col>17</xdr:col>
      <xdr:colOff>571500</xdr:colOff>
      <xdr:row>22</xdr:row>
      <xdr:rowOff>38100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5D9C377-91DB-4EA6-8E32-C86427C149AD}"/>
            </a:ext>
          </a:extLst>
        </xdr:cNvPr>
        <xdr:cNvSpPr txBox="1"/>
      </xdr:nvSpPr>
      <xdr:spPr>
        <a:xfrm>
          <a:off x="13630275" y="4371975"/>
          <a:ext cx="5524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 Jan</a:t>
          </a:r>
        </a:p>
      </xdr:txBody>
    </xdr:sp>
    <xdr:clientData/>
  </xdr:twoCellAnchor>
  <xdr:twoCellAnchor>
    <xdr:from>
      <xdr:col>17</xdr:col>
      <xdr:colOff>190500</xdr:colOff>
      <xdr:row>19</xdr:row>
      <xdr:rowOff>57150</xdr:rowOff>
    </xdr:from>
    <xdr:to>
      <xdr:col>17</xdr:col>
      <xdr:colOff>742950</xdr:colOff>
      <xdr:row>20</xdr:row>
      <xdr:rowOff>38100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5552BA8-2653-401E-8325-E4DB2482935E}"/>
            </a:ext>
          </a:extLst>
        </xdr:cNvPr>
        <xdr:cNvSpPr txBox="1"/>
      </xdr:nvSpPr>
      <xdr:spPr>
        <a:xfrm>
          <a:off x="13801725" y="3990975"/>
          <a:ext cx="5524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 Feb</a:t>
          </a:r>
        </a:p>
      </xdr:txBody>
    </xdr:sp>
    <xdr:clientData/>
  </xdr:twoCellAnchor>
  <xdr:twoCellAnchor>
    <xdr:from>
      <xdr:col>17</xdr:col>
      <xdr:colOff>76200</xdr:colOff>
      <xdr:row>16</xdr:row>
      <xdr:rowOff>19050</xdr:rowOff>
    </xdr:from>
    <xdr:to>
      <xdr:col>17</xdr:col>
      <xdr:colOff>647700</xdr:colOff>
      <xdr:row>17</xdr:row>
      <xdr:rowOff>28575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EB92387-E416-459E-84B5-B3A8FE4A4659}"/>
            </a:ext>
          </a:extLst>
        </xdr:cNvPr>
        <xdr:cNvSpPr txBox="1"/>
      </xdr:nvSpPr>
      <xdr:spPr>
        <a:xfrm>
          <a:off x="13687425" y="3352800"/>
          <a:ext cx="5715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1Mar</a:t>
          </a:r>
        </a:p>
      </xdr:txBody>
    </xdr:sp>
    <xdr:clientData/>
  </xdr:twoCellAnchor>
  <xdr:twoCellAnchor>
    <xdr:from>
      <xdr:col>15</xdr:col>
      <xdr:colOff>581025</xdr:colOff>
      <xdr:row>12</xdr:row>
      <xdr:rowOff>171450</xdr:rowOff>
    </xdr:from>
    <xdr:to>
      <xdr:col>16</xdr:col>
      <xdr:colOff>438150</xdr:colOff>
      <xdr:row>14</xdr:row>
      <xdr:rowOff>9525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B356DF1-F06A-4B25-AD32-A67268E37D02}"/>
            </a:ext>
          </a:extLst>
        </xdr:cNvPr>
        <xdr:cNvSpPr txBox="1"/>
      </xdr:nvSpPr>
      <xdr:spPr>
        <a:xfrm>
          <a:off x="12858750" y="2705100"/>
          <a:ext cx="5810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 Apr</a:t>
          </a:r>
        </a:p>
      </xdr:txBody>
    </xdr:sp>
    <xdr:clientData/>
  </xdr:twoCellAnchor>
  <xdr:twoCellAnchor>
    <xdr:from>
      <xdr:col>15</xdr:col>
      <xdr:colOff>495301</xdr:colOff>
      <xdr:row>11</xdr:row>
      <xdr:rowOff>38100</xdr:rowOff>
    </xdr:from>
    <xdr:to>
      <xdr:col>16</xdr:col>
      <xdr:colOff>342900</xdr:colOff>
      <xdr:row>12</xdr:row>
      <xdr:rowOff>76200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275393DD-8C38-4017-8A28-A2AB4E6FC1C8}"/>
            </a:ext>
          </a:extLst>
        </xdr:cNvPr>
        <xdr:cNvSpPr txBox="1"/>
      </xdr:nvSpPr>
      <xdr:spPr>
        <a:xfrm>
          <a:off x="12773026" y="2371725"/>
          <a:ext cx="57149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 May</a:t>
          </a:r>
        </a:p>
      </xdr:txBody>
    </xdr:sp>
    <xdr:clientData/>
  </xdr:twoCellAnchor>
  <xdr:twoCellAnchor>
    <xdr:from>
      <xdr:col>15</xdr:col>
      <xdr:colOff>476250</xdr:colOff>
      <xdr:row>9</xdr:row>
      <xdr:rowOff>95250</xdr:rowOff>
    </xdr:from>
    <xdr:to>
      <xdr:col>16</xdr:col>
      <xdr:colOff>333375</xdr:colOff>
      <xdr:row>10</xdr:row>
      <xdr:rowOff>133350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20A5647-CB73-4565-96A2-BBF1428B629D}"/>
            </a:ext>
          </a:extLst>
        </xdr:cNvPr>
        <xdr:cNvSpPr txBox="1"/>
      </xdr:nvSpPr>
      <xdr:spPr>
        <a:xfrm>
          <a:off x="12753975" y="2028825"/>
          <a:ext cx="5810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 Jun</a:t>
          </a:r>
        </a:p>
      </xdr:txBody>
    </xdr:sp>
    <xdr:clientData/>
  </xdr:twoCellAnchor>
  <xdr:twoCellAnchor>
    <xdr:from>
      <xdr:col>17</xdr:col>
      <xdr:colOff>19050</xdr:colOff>
      <xdr:row>9</xdr:row>
      <xdr:rowOff>28575</xdr:rowOff>
    </xdr:from>
    <xdr:to>
      <xdr:col>17</xdr:col>
      <xdr:colOff>619125</xdr:colOff>
      <xdr:row>10</xdr:row>
      <xdr:rowOff>19050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B3CE3EA-8356-4AEB-8235-DC76DB61459F}"/>
            </a:ext>
          </a:extLst>
        </xdr:cNvPr>
        <xdr:cNvSpPr txBox="1"/>
      </xdr:nvSpPr>
      <xdr:spPr>
        <a:xfrm>
          <a:off x="13630275" y="1962150"/>
          <a:ext cx="6000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 Jul</a:t>
          </a:r>
        </a:p>
      </xdr:txBody>
    </xdr:sp>
    <xdr:clientData/>
  </xdr:twoCellAnchor>
  <xdr:twoCellAnchor>
    <xdr:from>
      <xdr:col>17</xdr:col>
      <xdr:colOff>66675</xdr:colOff>
      <xdr:row>11</xdr:row>
      <xdr:rowOff>0</xdr:rowOff>
    </xdr:from>
    <xdr:to>
      <xdr:col>17</xdr:col>
      <xdr:colOff>619125</xdr:colOff>
      <xdr:row>12</xdr:row>
      <xdr:rowOff>9525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47CB6F6-1D64-413F-B6BC-C762BE7182DF}"/>
            </a:ext>
          </a:extLst>
        </xdr:cNvPr>
        <xdr:cNvSpPr txBox="1"/>
      </xdr:nvSpPr>
      <xdr:spPr>
        <a:xfrm>
          <a:off x="13677900" y="2333625"/>
          <a:ext cx="5524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 Aug</a:t>
          </a:r>
        </a:p>
      </xdr:txBody>
    </xdr:sp>
    <xdr:clientData/>
  </xdr:twoCellAnchor>
  <xdr:twoCellAnchor>
    <xdr:from>
      <xdr:col>17</xdr:col>
      <xdr:colOff>76200</xdr:colOff>
      <xdr:row>12</xdr:row>
      <xdr:rowOff>190500</xdr:rowOff>
    </xdr:from>
    <xdr:to>
      <xdr:col>17</xdr:col>
      <xdr:colOff>762000</xdr:colOff>
      <xdr:row>14</xdr:row>
      <xdr:rowOff>19050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27E7D4C1-FDBB-4662-8125-5223F7F6791E}"/>
            </a:ext>
          </a:extLst>
        </xdr:cNvPr>
        <xdr:cNvSpPr txBox="1"/>
      </xdr:nvSpPr>
      <xdr:spPr>
        <a:xfrm>
          <a:off x="13687425" y="2724150"/>
          <a:ext cx="68580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 Sep</a:t>
          </a:r>
        </a:p>
      </xdr:txBody>
    </xdr:sp>
    <xdr:clientData/>
  </xdr:twoCellAnchor>
  <xdr:twoCellAnchor>
    <xdr:from>
      <xdr:col>15</xdr:col>
      <xdr:colOff>523875</xdr:colOff>
      <xdr:row>14</xdr:row>
      <xdr:rowOff>142875</xdr:rowOff>
    </xdr:from>
    <xdr:to>
      <xdr:col>16</xdr:col>
      <xdr:colOff>314325</xdr:colOff>
      <xdr:row>15</xdr:row>
      <xdr:rowOff>142875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A3120FD-56B4-4B92-B6FD-F6ADC073B717}"/>
            </a:ext>
          </a:extLst>
        </xdr:cNvPr>
        <xdr:cNvSpPr txBox="1"/>
      </xdr:nvSpPr>
      <xdr:spPr>
        <a:xfrm>
          <a:off x="12801600" y="3076575"/>
          <a:ext cx="51435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 Oct</a:t>
          </a:r>
        </a:p>
      </xdr:txBody>
    </xdr:sp>
    <xdr:clientData/>
  </xdr:twoCellAnchor>
  <xdr:twoCellAnchor>
    <xdr:from>
      <xdr:col>15</xdr:col>
      <xdr:colOff>428625</xdr:colOff>
      <xdr:row>18</xdr:row>
      <xdr:rowOff>28575</xdr:rowOff>
    </xdr:from>
    <xdr:to>
      <xdr:col>16</xdr:col>
      <xdr:colOff>247650</xdr:colOff>
      <xdr:row>19</xdr:row>
      <xdr:rowOff>95250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4D9CD68-3279-4654-BC5A-A04B81414E57}"/>
            </a:ext>
          </a:extLst>
        </xdr:cNvPr>
        <xdr:cNvSpPr txBox="1"/>
      </xdr:nvSpPr>
      <xdr:spPr>
        <a:xfrm>
          <a:off x="12706350" y="3762375"/>
          <a:ext cx="54292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 Nov</a:t>
          </a:r>
        </a:p>
      </xdr:txBody>
    </xdr:sp>
    <xdr:clientData/>
  </xdr:twoCellAnchor>
  <xdr:twoCellAnchor>
    <xdr:from>
      <xdr:col>15</xdr:col>
      <xdr:colOff>485776</xdr:colOff>
      <xdr:row>21</xdr:row>
      <xdr:rowOff>152400</xdr:rowOff>
    </xdr:from>
    <xdr:to>
      <xdr:col>16</xdr:col>
      <xdr:colOff>295276</xdr:colOff>
      <xdr:row>22</xdr:row>
      <xdr:rowOff>190500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EF9DDB8E-7FB4-48C8-AF15-603203110131}"/>
            </a:ext>
          </a:extLst>
        </xdr:cNvPr>
        <xdr:cNvSpPr txBox="1"/>
      </xdr:nvSpPr>
      <xdr:spPr>
        <a:xfrm>
          <a:off x="12763501" y="4486275"/>
          <a:ext cx="5334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 Dec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0.06019</cdr:x>
      <cdr:y>0.93483</cdr:y>
    </cdr:from>
    <cdr:to>
      <cdr:x>0.94528</cdr:x>
      <cdr:y>0.99593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C10A0F4-28AB-4344-ABA5-5CC2C3F7B5E4}"/>
            </a:ext>
          </a:extLst>
        </cdr:cNvPr>
        <cdr:cNvSpPr txBox="1"/>
      </cdr:nvSpPr>
      <cdr:spPr>
        <a:xfrm xmlns:a="http://schemas.openxmlformats.org/drawingml/2006/main">
          <a:off x="419101" y="4371976"/>
          <a:ext cx="61626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ZA" sz="1200" b="1">
              <a:latin typeface="Arial" panose="020B0604020202020204" pitchFamily="34" charset="0"/>
              <a:cs typeface="Arial" panose="020B0604020202020204" pitchFamily="34" charset="0"/>
            </a:rPr>
            <a:t>Military Museum Analemmatic Sundial 26°09'47"S 28°02/30"E </a:t>
          </a:r>
        </a:p>
      </cdr:txBody>
    </cdr:sp>
  </cdr:relSizeAnchor>
  <cdr:relSizeAnchor xmlns:cdr="http://schemas.openxmlformats.org/drawingml/2006/chartDrawing">
    <cdr:from>
      <cdr:x>0.04378</cdr:x>
      <cdr:y>0.53972</cdr:y>
    </cdr:from>
    <cdr:to>
      <cdr:x>0.12722</cdr:x>
      <cdr:y>0.59267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2B5CC29-DCD1-456A-9276-168ED516886A}"/>
            </a:ext>
          </a:extLst>
        </cdr:cNvPr>
        <cdr:cNvSpPr txBox="1"/>
      </cdr:nvSpPr>
      <cdr:spPr>
        <a:xfrm xmlns:a="http://schemas.openxmlformats.org/drawingml/2006/main">
          <a:off x="304800" y="2524126"/>
          <a:ext cx="581026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06h00</a:t>
          </a:r>
        </a:p>
      </cdr:txBody>
    </cdr:sp>
  </cdr:relSizeAnchor>
  <cdr:relSizeAnchor xmlns:cdr="http://schemas.openxmlformats.org/drawingml/2006/chartDrawing">
    <cdr:from>
      <cdr:x>0.05746</cdr:x>
      <cdr:y>0.61507</cdr:y>
    </cdr:from>
    <cdr:to>
      <cdr:x>0.1409</cdr:x>
      <cdr:y>0.67617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495FCE4-F916-4F12-9209-0A25BD3D8C02}"/>
            </a:ext>
          </a:extLst>
        </cdr:cNvPr>
        <cdr:cNvSpPr txBox="1"/>
      </cdr:nvSpPr>
      <cdr:spPr>
        <a:xfrm xmlns:a="http://schemas.openxmlformats.org/drawingml/2006/main">
          <a:off x="400051" y="2876551"/>
          <a:ext cx="5810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07h00</a:t>
          </a:r>
        </a:p>
      </cdr:txBody>
    </cdr:sp>
  </cdr:relSizeAnchor>
  <cdr:relSizeAnchor xmlns:cdr="http://schemas.openxmlformats.org/drawingml/2006/chartDrawing">
    <cdr:from>
      <cdr:x>0.15595</cdr:x>
      <cdr:y>0.78411</cdr:y>
    </cdr:from>
    <cdr:to>
      <cdr:x>0.23529</cdr:x>
      <cdr:y>0.83503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D6ED75D-35D5-4D00-BA55-5AEA71AE7B1C}"/>
            </a:ext>
          </a:extLst>
        </cdr:cNvPr>
        <cdr:cNvSpPr txBox="1"/>
      </cdr:nvSpPr>
      <cdr:spPr>
        <a:xfrm xmlns:a="http://schemas.openxmlformats.org/drawingml/2006/main">
          <a:off x="1085851" y="3667125"/>
          <a:ext cx="5524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09h00</a:t>
          </a:r>
        </a:p>
      </cdr:txBody>
    </cdr:sp>
  </cdr:relSizeAnchor>
  <cdr:relSizeAnchor xmlns:cdr="http://schemas.openxmlformats.org/drawingml/2006/chartDrawing">
    <cdr:from>
      <cdr:x>0.25581</cdr:x>
      <cdr:y>0.85132</cdr:y>
    </cdr:from>
    <cdr:to>
      <cdr:x>0.34063</cdr:x>
      <cdr:y>0.89002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AE24E293-1DCD-428E-82DD-292B88424D97}"/>
            </a:ext>
          </a:extLst>
        </cdr:cNvPr>
        <cdr:cNvSpPr txBox="1"/>
      </cdr:nvSpPr>
      <cdr:spPr>
        <a:xfrm xmlns:a="http://schemas.openxmlformats.org/drawingml/2006/main">
          <a:off x="1781176" y="3981451"/>
          <a:ext cx="5905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10h00</a:t>
          </a:r>
        </a:p>
      </cdr:txBody>
    </cdr:sp>
  </cdr:relSizeAnchor>
  <cdr:relSizeAnchor xmlns:cdr="http://schemas.openxmlformats.org/drawingml/2006/chartDrawing">
    <cdr:from>
      <cdr:x>0.34884</cdr:x>
      <cdr:y>0.89002</cdr:y>
    </cdr:from>
    <cdr:to>
      <cdr:x>0.42955</cdr:x>
      <cdr:y>0.93279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0C1D2F1A-B732-48A3-9BA6-2C27B3F9FE98}"/>
            </a:ext>
          </a:extLst>
        </cdr:cNvPr>
        <cdr:cNvSpPr txBox="1"/>
      </cdr:nvSpPr>
      <cdr:spPr>
        <a:xfrm xmlns:a="http://schemas.openxmlformats.org/drawingml/2006/main">
          <a:off x="2428876" y="4162426"/>
          <a:ext cx="5619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11h00</a:t>
          </a:r>
        </a:p>
      </cdr:txBody>
    </cdr:sp>
  </cdr:relSizeAnchor>
  <cdr:relSizeAnchor xmlns:cdr="http://schemas.openxmlformats.org/drawingml/2006/chartDrawing">
    <cdr:from>
      <cdr:x>0.44049</cdr:x>
      <cdr:y>0.03462</cdr:y>
    </cdr:from>
    <cdr:to>
      <cdr:x>0.5472</cdr:x>
      <cdr:y>0.08961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F1B339C5-63A6-42CE-90A8-E35063AC9F25}"/>
            </a:ext>
          </a:extLst>
        </cdr:cNvPr>
        <cdr:cNvSpPr txBox="1"/>
      </cdr:nvSpPr>
      <cdr:spPr>
        <a:xfrm xmlns:a="http://schemas.openxmlformats.org/drawingml/2006/main">
          <a:off x="3067051" y="161926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200" b="1">
              <a:latin typeface="Arial" panose="020B0604020202020204" pitchFamily="34" charset="0"/>
              <a:cs typeface="Arial" panose="020B0604020202020204" pitchFamily="34" charset="0"/>
            </a:rPr>
            <a:t>NORTH</a:t>
          </a:r>
        </a:p>
      </cdr:txBody>
    </cdr:sp>
  </cdr:relSizeAnchor>
  <cdr:relSizeAnchor xmlns:cdr="http://schemas.openxmlformats.org/drawingml/2006/chartDrawing">
    <cdr:from>
      <cdr:x>0.85773</cdr:x>
      <cdr:y>0.47251</cdr:y>
    </cdr:from>
    <cdr:to>
      <cdr:x>0.95896</cdr:x>
      <cdr:y>0.51935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4E9BC2FE-7381-4E0A-9C00-F5A0B9D74DA2}"/>
            </a:ext>
          </a:extLst>
        </cdr:cNvPr>
        <cdr:cNvSpPr txBox="1"/>
      </cdr:nvSpPr>
      <cdr:spPr>
        <a:xfrm xmlns:a="http://schemas.openxmlformats.org/drawingml/2006/main">
          <a:off x="5972176" y="2209801"/>
          <a:ext cx="7048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000" b="1">
              <a:latin typeface="Arial" panose="020B0604020202020204" pitchFamily="34" charset="0"/>
              <a:cs typeface="Arial" panose="020B0604020202020204" pitchFamily="34" charset="0"/>
            </a:rPr>
            <a:t>19h00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0</xdr:rowOff>
    </xdr:from>
    <xdr:to>
      <xdr:col>16</xdr:col>
      <xdr:colOff>304800</xdr:colOff>
      <xdr:row>25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3F1915-A338-43D4-9E3E-5D3FDF889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0"/>
  <sheetViews>
    <sheetView tabSelected="1" workbookViewId="0">
      <selection activeCell="L11" sqref="L11"/>
    </sheetView>
  </sheetViews>
  <sheetFormatPr defaultRowHeight="15" x14ac:dyDescent="0.25"/>
  <cols>
    <col min="1" max="1" width="18.42578125" customWidth="1"/>
    <col min="3" max="3" width="9.7109375" customWidth="1"/>
    <col min="6" max="6" width="10.85546875" customWidth="1"/>
    <col min="7" max="7" width="20.42578125" customWidth="1"/>
    <col min="8" max="8" width="12.7109375" customWidth="1"/>
    <col min="9" max="9" width="11" customWidth="1"/>
    <col min="11" max="11" width="16.85546875" customWidth="1"/>
    <col min="12" max="12" width="17.140625" customWidth="1"/>
    <col min="14" max="14" width="10.85546875" bestFit="1" customWidth="1"/>
    <col min="15" max="15" width="10.42578125" customWidth="1"/>
    <col min="16" max="16" width="10.85546875" bestFit="1" customWidth="1"/>
    <col min="17" max="17" width="9.140625" style="23"/>
    <col min="18" max="18" width="11.85546875" customWidth="1"/>
    <col min="22" max="22" width="10.28515625" customWidth="1"/>
  </cols>
  <sheetData>
    <row r="1" spans="1:19" ht="18" x14ac:dyDescent="0.25">
      <c r="A1" s="1" t="str">
        <f>I6&amp;" Analemmatic Sundial Design "&amp;A6&amp;"°"&amp;B6&amp;"'"&amp;C6&amp;"""S "&amp;D6&amp;"°"&amp;E6&amp;"'"&amp;F6&amp;"""E"</f>
        <v>Military Museum Analemmatic Sundial Design 26°9'47"S 28°2'30"E</v>
      </c>
    </row>
    <row r="2" spans="1:19" ht="18" x14ac:dyDescent="0.25">
      <c r="A2" s="1"/>
    </row>
    <row r="3" spans="1:19" ht="16.5" thickBot="1" x14ac:dyDescent="0.3">
      <c r="A3" s="6" t="s">
        <v>3</v>
      </c>
      <c r="B3" s="2"/>
      <c r="C3" s="2"/>
      <c r="D3" s="2"/>
      <c r="E3" s="2"/>
      <c r="F3" s="2"/>
      <c r="G3" s="2"/>
      <c r="H3" s="17"/>
      <c r="I3" s="2"/>
      <c r="J3" s="2"/>
      <c r="K3" s="2"/>
      <c r="L3" s="2"/>
      <c r="M3" s="2"/>
      <c r="N3" s="2"/>
      <c r="O3" s="2"/>
      <c r="P3" s="2"/>
      <c r="Q3" s="3"/>
      <c r="R3" s="2"/>
      <c r="S3" s="2"/>
    </row>
    <row r="4" spans="1:19" ht="16.5" thickBot="1" x14ac:dyDescent="0.3">
      <c r="A4" s="104" t="s">
        <v>4</v>
      </c>
      <c r="B4" s="105"/>
      <c r="C4" s="106"/>
      <c r="D4" s="104" t="s">
        <v>5</v>
      </c>
      <c r="E4" s="105"/>
      <c r="F4" s="105"/>
      <c r="G4" s="14" t="s">
        <v>74</v>
      </c>
      <c r="H4" s="81" t="s">
        <v>31</v>
      </c>
      <c r="I4" s="104" t="s">
        <v>267</v>
      </c>
      <c r="J4" s="106"/>
      <c r="K4" s="14" t="s">
        <v>270</v>
      </c>
      <c r="M4" s="2"/>
      <c r="N4" s="2"/>
      <c r="O4" s="2"/>
      <c r="P4" s="2"/>
      <c r="Q4" s="3"/>
      <c r="R4" s="2"/>
      <c r="S4" s="2"/>
    </row>
    <row r="5" spans="1:19" ht="16.5" thickBot="1" x14ac:dyDescent="0.3">
      <c r="A5" s="7" t="s">
        <v>0</v>
      </c>
      <c r="B5" s="8" t="s">
        <v>1</v>
      </c>
      <c r="C5" s="9" t="s">
        <v>2</v>
      </c>
      <c r="D5" s="7" t="s">
        <v>0</v>
      </c>
      <c r="E5" s="8" t="s">
        <v>1</v>
      </c>
      <c r="F5" s="13" t="s">
        <v>2</v>
      </c>
      <c r="G5" s="80" t="s">
        <v>73</v>
      </c>
      <c r="H5" s="83" t="s">
        <v>33</v>
      </c>
      <c r="I5" s="85"/>
      <c r="J5" s="84"/>
      <c r="K5" s="86" t="s">
        <v>271</v>
      </c>
      <c r="P5" s="2"/>
      <c r="Q5" s="3"/>
      <c r="R5" s="2"/>
      <c r="S5" s="2"/>
    </row>
    <row r="6" spans="1:19" ht="16.5" thickBot="1" x14ac:dyDescent="0.3">
      <c r="A6" s="10">
        <v>26</v>
      </c>
      <c r="B6" s="11">
        <v>9</v>
      </c>
      <c r="C6" s="12">
        <v>47</v>
      </c>
      <c r="D6" s="10">
        <v>28</v>
      </c>
      <c r="E6" s="11">
        <v>2</v>
      </c>
      <c r="F6" s="12">
        <v>30</v>
      </c>
      <c r="G6" s="15">
        <v>1.5</v>
      </c>
      <c r="H6" s="82">
        <v>2018</v>
      </c>
      <c r="I6" s="107" t="s">
        <v>268</v>
      </c>
      <c r="J6" s="108"/>
      <c r="K6" s="15">
        <v>500</v>
      </c>
      <c r="L6" s="52" t="s">
        <v>33</v>
      </c>
      <c r="M6" s="22" t="s">
        <v>33</v>
      </c>
      <c r="N6" s="22" t="s">
        <v>33</v>
      </c>
      <c r="O6" s="22" t="s">
        <v>33</v>
      </c>
      <c r="P6" s="2"/>
      <c r="Q6" s="3"/>
      <c r="R6" s="2"/>
      <c r="S6" s="2"/>
    </row>
    <row r="7" spans="1:19" ht="15.75" x14ac:dyDescent="0.25">
      <c r="A7" s="2"/>
      <c r="B7" s="2"/>
      <c r="C7" s="16" t="s">
        <v>8</v>
      </c>
      <c r="D7" s="16" t="s">
        <v>9</v>
      </c>
      <c r="E7" s="16" t="s">
        <v>10</v>
      </c>
      <c r="F7" s="31" t="s">
        <v>70</v>
      </c>
      <c r="G7" s="20" t="s">
        <v>31</v>
      </c>
      <c r="H7" s="20" t="s">
        <v>32</v>
      </c>
      <c r="I7" s="2"/>
      <c r="J7" s="2"/>
      <c r="K7" s="2"/>
      <c r="L7" s="2"/>
      <c r="M7" s="2"/>
      <c r="N7" s="2"/>
      <c r="O7" s="2"/>
      <c r="P7" s="2"/>
      <c r="Q7" s="3"/>
      <c r="R7" s="2"/>
      <c r="S7" s="2"/>
    </row>
    <row r="8" spans="1:19" ht="15.75" x14ac:dyDescent="0.25">
      <c r="A8" s="6" t="s">
        <v>6</v>
      </c>
      <c r="B8" s="2"/>
      <c r="C8" s="18">
        <f>-$A$6-$B$6/60-$C$6/60/60</f>
        <v>-26.163055555555555</v>
      </c>
      <c r="D8" s="18">
        <f>$D$6+$E$6/60+$F$6/60/60</f>
        <v>28.041666666666668</v>
      </c>
      <c r="E8" s="18">
        <f>($D$8-30)/15*60</f>
        <v>-7.8333333333333286</v>
      </c>
      <c r="F8" s="52">
        <f>$G$6*SIN($C$8/180*3.141592654)</f>
        <v>-0.66139081040385661</v>
      </c>
      <c r="G8" s="22">
        <f ca="1">YEAR(NOW())</f>
        <v>2018</v>
      </c>
      <c r="H8" s="22">
        <f ca="1">IF(OR($G$8=4*INT($G$8/4),$G$8=100*INT($G$8/100)),1,0)</f>
        <v>0</v>
      </c>
      <c r="I8" s="2"/>
      <c r="J8" s="2"/>
      <c r="K8" s="2"/>
      <c r="L8" s="2"/>
      <c r="M8" s="2"/>
      <c r="N8" s="2"/>
      <c r="O8" s="2"/>
      <c r="P8" s="2"/>
      <c r="Q8" s="3"/>
      <c r="R8" s="2"/>
      <c r="S8" s="2"/>
    </row>
    <row r="9" spans="1:19" ht="18.75" thickBot="1" x14ac:dyDescent="0.3">
      <c r="A9" s="6" t="s">
        <v>40</v>
      </c>
      <c r="B9" s="6" t="s">
        <v>66</v>
      </c>
      <c r="C9" s="30" t="s">
        <v>67</v>
      </c>
      <c r="D9" s="6" t="s">
        <v>68</v>
      </c>
      <c r="E9" s="6" t="s">
        <v>69</v>
      </c>
      <c r="F9" s="6" t="s">
        <v>71</v>
      </c>
      <c r="G9" s="6" t="s">
        <v>72</v>
      </c>
      <c r="H9" s="5" t="s">
        <v>75</v>
      </c>
      <c r="I9" s="5" t="s">
        <v>77</v>
      </c>
      <c r="J9" s="5" t="s">
        <v>76</v>
      </c>
      <c r="K9" s="2"/>
      <c r="L9" s="2"/>
      <c r="M9" s="2"/>
      <c r="N9" s="2"/>
      <c r="O9" s="2"/>
      <c r="P9" s="2"/>
      <c r="Q9" s="3"/>
      <c r="R9" s="2"/>
      <c r="S9" s="2"/>
    </row>
    <row r="10" spans="1:19" ht="15.75" x14ac:dyDescent="0.25">
      <c r="A10" s="2" t="s">
        <v>41</v>
      </c>
      <c r="B10" s="29">
        <f>VALUE(LEFT(A10,2)+VALUE(RIGHT(A10,2))/60)</f>
        <v>6</v>
      </c>
      <c r="C10" s="29">
        <f>B10*15</f>
        <v>90</v>
      </c>
      <c r="D10" s="39">
        <f t="shared" ref="D10:D36" si="0">-G$6*SIN((C10+$E$8/4)/180*3.141592654)</f>
        <v>-1.4991239135852423</v>
      </c>
      <c r="E10" s="40">
        <f t="shared" ref="E10:E36" si="1">-G$6*SIN($C$8/180*3.141592654)*COS((C10+$E$8/4)/180*3.141592654)</f>
        <v>2.2601516240997994E-2</v>
      </c>
      <c r="F10" s="32">
        <f t="shared" ref="F10:F36" si="2">$G$6*SIN((B10-12+$E$8/60)*15/180*3.141592654)</f>
        <v>-1.4991239135642154</v>
      </c>
      <c r="G10" s="32">
        <f t="shared" ref="G10:G36" si="3">G$6*SIN($C$8/180*3.141592654)*COS((B10-12+$E$8/60)*15/180*3.141592654)</f>
        <v>2.2601516512146581E-2</v>
      </c>
      <c r="H10" s="33">
        <f>SQRT(D10^2+E10^2)</f>
        <v>1.499294279592744</v>
      </c>
      <c r="I10" s="32">
        <f>180/3.141592654*ATAN(E10/D10)</f>
        <v>-0.86375340748071405</v>
      </c>
      <c r="J10" s="36">
        <f>IF(D10&lt;=0,270-I10,90-I10)</f>
        <v>270.86375340748071</v>
      </c>
      <c r="K10" s="2"/>
      <c r="L10" s="2"/>
      <c r="M10" s="2"/>
      <c r="N10" s="2"/>
      <c r="O10" s="2"/>
      <c r="P10" s="2"/>
      <c r="Q10" s="3"/>
      <c r="R10" s="2"/>
      <c r="S10" s="2"/>
    </row>
    <row r="11" spans="1:19" ht="15.75" x14ac:dyDescent="0.25">
      <c r="A11" s="2" t="s">
        <v>42</v>
      </c>
      <c r="B11" s="29">
        <f t="shared" ref="B11:B34" si="4">VALUE(LEFT(A11,2)+VALUE(RIGHT(A11,2))/60)</f>
        <v>6.5</v>
      </c>
      <c r="C11" s="29">
        <f t="shared" ref="C11:C34" si="5">B11*15</f>
        <v>97.5</v>
      </c>
      <c r="D11" s="41">
        <f t="shared" si="0"/>
        <v>-1.4929893512200147</v>
      </c>
      <c r="E11" s="42">
        <f t="shared" si="1"/>
        <v>-6.3870245919571481E-2</v>
      </c>
      <c r="F11" s="32">
        <f t="shared" si="2"/>
        <v>-1.492989351279435</v>
      </c>
      <c r="G11" s="32">
        <f t="shared" si="3"/>
        <v>-6.3870245649532309E-2</v>
      </c>
      <c r="H11" s="34">
        <f t="shared" ref="H11:H34" si="6">SQRT(D11^2+E11^2)</f>
        <v>1.4943549147274844</v>
      </c>
      <c r="I11" s="32">
        <f t="shared" ref="I11:I34" si="7">180/3.141592654*ATAN(E11/D11)</f>
        <v>2.4496259884421168</v>
      </c>
      <c r="J11" s="37">
        <f t="shared" ref="J11:J34" si="8">IF(D11&lt;=0,270-I11,90-I11)</f>
        <v>267.55037401155789</v>
      </c>
      <c r="K11" s="2"/>
      <c r="L11" s="2"/>
      <c r="M11" s="2"/>
      <c r="N11" s="2"/>
      <c r="O11" s="2"/>
      <c r="P11" s="2"/>
      <c r="Q11" s="3"/>
      <c r="R11" s="2"/>
      <c r="S11" s="2"/>
    </row>
    <row r="12" spans="1:19" ht="15.75" x14ac:dyDescent="0.25">
      <c r="A12" s="2" t="s">
        <v>43</v>
      </c>
      <c r="B12" s="29">
        <f t="shared" si="4"/>
        <v>7</v>
      </c>
      <c r="C12" s="29">
        <f t="shared" si="5"/>
        <v>105</v>
      </c>
      <c r="D12" s="41">
        <f t="shared" si="0"/>
        <v>-1.4613093271139015</v>
      </c>
      <c r="E12" s="42">
        <f t="shared" si="1"/>
        <v>-0.14924917046399416</v>
      </c>
      <c r="F12" s="32">
        <f t="shared" si="2"/>
        <v>-1.4613093272527522</v>
      </c>
      <c r="G12" s="32">
        <f t="shared" si="3"/>
        <v>-0.14924917019968517</v>
      </c>
      <c r="H12" s="34">
        <f t="shared" si="6"/>
        <v>1.4689112513675813</v>
      </c>
      <c r="I12" s="32">
        <f t="shared" si="7"/>
        <v>5.8316183722206665</v>
      </c>
      <c r="J12" s="37">
        <f t="shared" si="8"/>
        <v>264.16838162777935</v>
      </c>
      <c r="K12" s="2"/>
      <c r="L12" s="2"/>
      <c r="M12" s="2"/>
      <c r="N12" s="2"/>
      <c r="O12" s="2"/>
      <c r="P12" s="2"/>
      <c r="Q12" s="3"/>
      <c r="R12" s="2"/>
      <c r="S12" s="2"/>
    </row>
    <row r="13" spans="1:19" ht="15.75" x14ac:dyDescent="0.25">
      <c r="A13" s="2" t="s">
        <v>44</v>
      </c>
      <c r="B13" s="29">
        <f t="shared" si="4"/>
        <v>7.5</v>
      </c>
      <c r="C13" s="29">
        <f t="shared" si="5"/>
        <v>112.5</v>
      </c>
      <c r="D13" s="41">
        <f t="shared" si="0"/>
        <v>-1.4046258952628614</v>
      </c>
      <c r="E13" s="42">
        <f t="shared" si="1"/>
        <v>-0.23207440032142454</v>
      </c>
      <c r="F13" s="32">
        <f t="shared" si="2"/>
        <v>-1.4046258954787669</v>
      </c>
      <c r="G13" s="32">
        <f t="shared" si="3"/>
        <v>-0.23207440006736793</v>
      </c>
      <c r="H13" s="34">
        <f t="shared" si="6"/>
        <v>1.4236686527867164</v>
      </c>
      <c r="I13" s="32">
        <f t="shared" si="7"/>
        <v>9.3817394328978576</v>
      </c>
      <c r="J13" s="37">
        <f t="shared" si="8"/>
        <v>260.61826056710214</v>
      </c>
      <c r="K13" s="2"/>
      <c r="L13" s="2"/>
      <c r="M13" s="2"/>
      <c r="N13" s="2"/>
      <c r="O13" s="2"/>
      <c r="P13" s="2"/>
      <c r="Q13" s="3"/>
      <c r="R13" s="2"/>
      <c r="S13" s="2"/>
    </row>
    <row r="14" spans="1:19" ht="15.75" x14ac:dyDescent="0.25">
      <c r="A14" s="2" t="s">
        <v>45</v>
      </c>
      <c r="B14" s="29">
        <f t="shared" si="4"/>
        <v>8</v>
      </c>
      <c r="C14" s="29">
        <f t="shared" si="5"/>
        <v>120</v>
      </c>
      <c r="D14" s="41">
        <f t="shared" si="0"/>
        <v>-1.3239089249017353</v>
      </c>
      <c r="E14" s="42">
        <f t="shared" si="1"/>
        <v>-0.31092877284514031</v>
      </c>
      <c r="F14" s="32">
        <f t="shared" si="2"/>
        <v>-1.3239089251910015</v>
      </c>
      <c r="G14" s="32">
        <f t="shared" si="3"/>
        <v>-0.31092877260568286</v>
      </c>
      <c r="H14" s="34">
        <f t="shared" si="6"/>
        <v>1.3599307126532048</v>
      </c>
      <c r="I14" s="32">
        <f t="shared" si="7"/>
        <v>13.216765706856453</v>
      </c>
      <c r="J14" s="37">
        <f t="shared" si="8"/>
        <v>256.78323429314355</v>
      </c>
      <c r="K14" s="2"/>
      <c r="L14" s="2"/>
      <c r="M14" s="2"/>
      <c r="N14" s="2"/>
      <c r="O14" s="2"/>
      <c r="P14" s="2"/>
      <c r="Q14" s="3"/>
      <c r="R14" s="2"/>
      <c r="S14" s="2"/>
    </row>
    <row r="15" spans="1:19" ht="15.75" x14ac:dyDescent="0.25">
      <c r="A15" s="2" t="s">
        <v>46</v>
      </c>
      <c r="B15" s="29">
        <f t="shared" si="4"/>
        <v>8.5</v>
      </c>
      <c r="C15" s="29">
        <f t="shared" si="5"/>
        <v>127.5</v>
      </c>
      <c r="D15" s="41">
        <f t="shared" si="0"/>
        <v>-1.220539505772734</v>
      </c>
      <c r="E15" s="42">
        <f t="shared" si="1"/>
        <v>-0.38446306785834627</v>
      </c>
      <c r="F15" s="32">
        <f t="shared" si="2"/>
        <v>-1.220539506130411</v>
      </c>
      <c r="G15" s="32">
        <f t="shared" si="3"/>
        <v>-0.38446306763758542</v>
      </c>
      <c r="H15" s="34">
        <f t="shared" si="6"/>
        <v>1.2796595389786305</v>
      </c>
      <c r="I15" s="32">
        <f t="shared" si="7"/>
        <v>17.484133657539147</v>
      </c>
      <c r="J15" s="37">
        <f t="shared" si="8"/>
        <v>252.51586634246087</v>
      </c>
      <c r="K15" s="2"/>
      <c r="L15" s="2"/>
      <c r="M15" s="2"/>
      <c r="N15" s="2"/>
      <c r="O15" s="2"/>
      <c r="P15" s="2"/>
      <c r="Q15" s="3"/>
      <c r="R15" s="2"/>
      <c r="S15" s="2"/>
    </row>
    <row r="16" spans="1:19" ht="15.75" x14ac:dyDescent="0.25">
      <c r="A16" s="2" t="s">
        <v>47</v>
      </c>
      <c r="B16" s="29">
        <f t="shared" si="4"/>
        <v>9</v>
      </c>
      <c r="C16" s="29">
        <f t="shared" si="5"/>
        <v>135</v>
      </c>
      <c r="D16" s="41">
        <f t="shared" si="0"/>
        <v>-1.0962863172970341</v>
      </c>
      <c r="E16" s="42">
        <f t="shared" si="1"/>
        <v>-0.45141909318548001</v>
      </c>
      <c r="F16" s="32">
        <f t="shared" si="2"/>
        <v>-1.0962863177170017</v>
      </c>
      <c r="G16" s="32">
        <f t="shared" si="3"/>
        <v>-0.45141909298719324</v>
      </c>
      <c r="H16" s="34">
        <f t="shared" si="6"/>
        <v>1.1855896790985887</v>
      </c>
      <c r="I16" s="32">
        <f t="shared" si="7"/>
        <v>22.380451439324577</v>
      </c>
      <c r="J16" s="37">
        <f t="shared" si="8"/>
        <v>247.61954856067541</v>
      </c>
      <c r="K16" s="2"/>
      <c r="L16" s="2"/>
      <c r="M16" s="2"/>
      <c r="N16" s="2"/>
      <c r="O16" s="2"/>
      <c r="P16" s="2"/>
      <c r="Q16" s="3"/>
      <c r="R16" s="2"/>
      <c r="S16" s="2"/>
    </row>
    <row r="17" spans="1:20" ht="15.75" x14ac:dyDescent="0.25">
      <c r="A17" s="2" t="s">
        <v>48</v>
      </c>
      <c r="B17" s="29">
        <f t="shared" si="4"/>
        <v>9.5</v>
      </c>
      <c r="C17" s="29">
        <f t="shared" si="5"/>
        <v>142.5</v>
      </c>
      <c r="D17" s="41">
        <f t="shared" si="0"/>
        <v>-0.95327536597949991</v>
      </c>
      <c r="E17" s="42">
        <f t="shared" si="1"/>
        <v>-0.51065121266917857</v>
      </c>
      <c r="F17" s="32">
        <f t="shared" si="2"/>
        <v>-0.953275366454573</v>
      </c>
      <c r="G17" s="32">
        <f t="shared" si="3"/>
        <v>-0.51065121249675849</v>
      </c>
      <c r="H17" s="34">
        <f t="shared" si="6"/>
        <v>1.081433578350447</v>
      </c>
      <c r="I17" s="32">
        <f t="shared" si="7"/>
        <v>28.177094750869966</v>
      </c>
      <c r="J17" s="37">
        <f t="shared" si="8"/>
        <v>241.82290524913003</v>
      </c>
      <c r="K17" s="2"/>
      <c r="L17" s="2"/>
      <c r="M17" s="2"/>
      <c r="N17" s="2"/>
      <c r="O17" s="2"/>
      <c r="P17" s="2"/>
      <c r="Q17" s="3"/>
      <c r="R17" s="2"/>
      <c r="S17" s="2"/>
    </row>
    <row r="18" spans="1:20" ht="15.75" x14ac:dyDescent="0.25">
      <c r="A18" s="2" t="s">
        <v>49</v>
      </c>
      <c r="B18" s="29">
        <f t="shared" si="4"/>
        <v>10</v>
      </c>
      <c r="C18" s="29">
        <f t="shared" si="5"/>
        <v>150</v>
      </c>
      <c r="D18" s="41">
        <f t="shared" si="0"/>
        <v>-0.7939536088479402</v>
      </c>
      <c r="E18" s="42">
        <f t="shared" si="1"/>
        <v>-0.56114594832256548</v>
      </c>
      <c r="F18" s="32">
        <f t="shared" si="2"/>
        <v>-0.79395360936998949</v>
      </c>
      <c r="G18" s="32">
        <f t="shared" si="3"/>
        <v>-0.56114594817896213</v>
      </c>
      <c r="H18" s="34">
        <f t="shared" si="6"/>
        <v>0.97223819525952548</v>
      </c>
      <c r="I18" s="32">
        <f t="shared" si="7"/>
        <v>35.251685059923666</v>
      </c>
      <c r="J18" s="37">
        <f t="shared" si="8"/>
        <v>234.74831494007634</v>
      </c>
      <c r="K18" s="2"/>
      <c r="L18" s="2"/>
      <c r="M18" s="2"/>
      <c r="N18" s="2"/>
      <c r="O18" s="2"/>
      <c r="P18" s="2"/>
      <c r="Q18" s="3"/>
      <c r="R18" s="2"/>
      <c r="S18" s="2"/>
    </row>
    <row r="19" spans="1:20" ht="15.75" x14ac:dyDescent="0.25">
      <c r="A19" s="2" t="s">
        <v>50</v>
      </c>
      <c r="B19" s="29">
        <f t="shared" si="4"/>
        <v>10.5</v>
      </c>
      <c r="C19" s="29">
        <f t="shared" si="5"/>
        <v>157.5</v>
      </c>
      <c r="D19" s="41">
        <f t="shared" si="0"/>
        <v>-0.62104708533992259</v>
      </c>
      <c r="E19" s="42">
        <f t="shared" si="1"/>
        <v>-0.60203932121860027</v>
      </c>
      <c r="F19" s="32">
        <f t="shared" si="2"/>
        <v>-0.62104708590001623</v>
      </c>
      <c r="G19" s="32">
        <f t="shared" si="3"/>
        <v>-0.60203932110627068</v>
      </c>
      <c r="H19" s="34">
        <f t="shared" si="6"/>
        <v>0.86495712408336523</v>
      </c>
      <c r="I19" s="32">
        <f t="shared" si="7"/>
        <v>44.109648345246605</v>
      </c>
      <c r="J19" s="37">
        <f t="shared" si="8"/>
        <v>225.8903516547534</v>
      </c>
      <c r="K19" s="2"/>
      <c r="L19" s="2"/>
      <c r="M19" s="2"/>
      <c r="N19" s="2"/>
      <c r="O19" s="2"/>
      <c r="P19" s="2"/>
      <c r="Q19" s="3"/>
      <c r="R19" s="2"/>
      <c r="S19" s="2"/>
    </row>
    <row r="20" spans="1:20" ht="15.75" x14ac:dyDescent="0.25">
      <c r="A20" s="2" t="s">
        <v>51</v>
      </c>
      <c r="B20" s="29">
        <f t="shared" si="4"/>
        <v>11</v>
      </c>
      <c r="C20" s="29">
        <f t="shared" si="5"/>
        <v>165</v>
      </c>
      <c r="D20" s="41">
        <f t="shared" si="0"/>
        <v>-0.43751427401218584</v>
      </c>
      <c r="E20" s="42">
        <f t="shared" si="1"/>
        <v>-0.63263163440906434</v>
      </c>
      <c r="F20" s="32">
        <f t="shared" si="2"/>
        <v>-0.43751427460074038</v>
      </c>
      <c r="G20" s="32">
        <f t="shared" si="3"/>
        <v>-0.63263163432993064</v>
      </c>
      <c r="H20" s="34">
        <f t="shared" si="6"/>
        <v>0.76918237422570601</v>
      </c>
      <c r="I20" s="32">
        <f t="shared" si="7"/>
        <v>55.333109110447303</v>
      </c>
      <c r="J20" s="37">
        <f t="shared" si="8"/>
        <v>214.66689088955269</v>
      </c>
      <c r="K20" s="2"/>
      <c r="L20" s="2"/>
      <c r="M20" s="2"/>
      <c r="N20" s="2"/>
      <c r="O20" s="2"/>
      <c r="P20" s="2"/>
      <c r="Q20" s="3"/>
      <c r="R20" s="2"/>
      <c r="S20" s="2"/>
    </row>
    <row r="21" spans="1:20" ht="15.75" x14ac:dyDescent="0.25">
      <c r="A21" s="2" t="s">
        <v>52</v>
      </c>
      <c r="B21" s="29">
        <f t="shared" si="4"/>
        <v>11.5</v>
      </c>
      <c r="C21" s="29">
        <f t="shared" si="5"/>
        <v>172.5</v>
      </c>
      <c r="D21" s="41">
        <f t="shared" si="0"/>
        <v>-0.24649547215227502</v>
      </c>
      <c r="E21" s="42">
        <f t="shared" si="1"/>
        <v>-0.6523994449333409</v>
      </c>
      <c r="F21" s="32">
        <f t="shared" si="2"/>
        <v>-0.24649547275922015</v>
      </c>
      <c r="G21" s="32">
        <f t="shared" si="3"/>
        <v>-0.6523994448887569</v>
      </c>
      <c r="H21" s="34">
        <f t="shared" si="6"/>
        <v>0.69741311540643136</v>
      </c>
      <c r="I21" s="32">
        <f t="shared" si="7"/>
        <v>69.301977769564402</v>
      </c>
      <c r="J21" s="37">
        <f t="shared" si="8"/>
        <v>200.69802223043558</v>
      </c>
      <c r="K21" s="2"/>
      <c r="L21" s="2"/>
      <c r="M21" s="2"/>
      <c r="N21" s="2"/>
      <c r="O21" s="2"/>
      <c r="P21" s="2"/>
      <c r="Q21" s="3"/>
      <c r="R21" s="2"/>
      <c r="S21" s="2"/>
    </row>
    <row r="22" spans="1:20" ht="15.75" x14ac:dyDescent="0.25">
      <c r="A22" s="2" t="s">
        <v>53</v>
      </c>
      <c r="B22" s="29">
        <f t="shared" si="4"/>
        <v>12</v>
      </c>
      <c r="C22" s="29">
        <f t="shared" si="5"/>
        <v>180</v>
      </c>
      <c r="D22" s="41">
        <f t="shared" si="0"/>
        <v>-5.1259064421282863E-2</v>
      </c>
      <c r="E22" s="42">
        <f t="shared" si="1"/>
        <v>-0.66100452007259869</v>
      </c>
      <c r="F22" s="32">
        <f t="shared" si="2"/>
        <v>-5.125906503623353E-2</v>
      </c>
      <c r="G22" s="32">
        <f t="shared" si="3"/>
        <v>-0.66100452006332733</v>
      </c>
      <c r="H22" s="34">
        <f t="shared" si="6"/>
        <v>0.66298904006156223</v>
      </c>
      <c r="I22" s="32">
        <f t="shared" si="7"/>
        <v>85.565745800688603</v>
      </c>
      <c r="J22" s="37">
        <f t="shared" si="8"/>
        <v>184.4342541993114</v>
      </c>
      <c r="K22" s="2"/>
      <c r="L22" s="2"/>
      <c r="M22" s="2"/>
      <c r="N22" s="2"/>
      <c r="O22" s="2"/>
      <c r="P22" s="2"/>
      <c r="Q22" s="3"/>
      <c r="R22" s="2"/>
      <c r="S22" s="2"/>
    </row>
    <row r="23" spans="1:20" ht="15.75" x14ac:dyDescent="0.25">
      <c r="A23" s="2" t="s">
        <v>54</v>
      </c>
      <c r="B23" s="29">
        <f t="shared" si="4"/>
        <v>12.5</v>
      </c>
      <c r="C23" s="29">
        <f t="shared" si="5"/>
        <v>187.5</v>
      </c>
      <c r="D23" s="41">
        <f t="shared" si="0"/>
        <v>0.14485440011388306</v>
      </c>
      <c r="E23" s="42">
        <f t="shared" si="1"/>
        <v>-0.65829962460538916</v>
      </c>
      <c r="F23" s="32">
        <f t="shared" si="2"/>
        <v>0.14485439950144949</v>
      </c>
      <c r="G23" s="32">
        <f t="shared" si="3"/>
        <v>-0.65829962463158909</v>
      </c>
      <c r="H23" s="34">
        <f t="shared" si="6"/>
        <v>0.67404836101569832</v>
      </c>
      <c r="I23" s="32">
        <f t="shared" si="7"/>
        <v>-77.59021690847338</v>
      </c>
      <c r="J23" s="37">
        <f t="shared" si="8"/>
        <v>167.59021690847339</v>
      </c>
      <c r="K23" s="2"/>
      <c r="L23" s="2"/>
      <c r="M23" s="2"/>
      <c r="N23" s="2"/>
      <c r="O23" s="2"/>
      <c r="P23" s="2"/>
      <c r="Q23" s="3"/>
      <c r="R23" s="2"/>
      <c r="S23" s="2"/>
    </row>
    <row r="24" spans="1:20" ht="15.75" x14ac:dyDescent="0.25">
      <c r="A24" s="2" t="s">
        <v>55</v>
      </c>
      <c r="B24" s="29">
        <f t="shared" si="4"/>
        <v>13</v>
      </c>
      <c r="C24" s="29">
        <f t="shared" si="5"/>
        <v>195</v>
      </c>
      <c r="D24" s="41">
        <f t="shared" si="0"/>
        <v>0.33848936570122834</v>
      </c>
      <c r="E24" s="42">
        <f t="shared" si="1"/>
        <v>-0.64433104004310693</v>
      </c>
      <c r="F24" s="32">
        <f t="shared" si="2"/>
        <v>0.33848936510178951</v>
      </c>
      <c r="G24" s="32">
        <f t="shared" si="3"/>
        <v>-0.64433104010432996</v>
      </c>
      <c r="H24" s="34">
        <f t="shared" si="6"/>
        <v>0.727830708239115</v>
      </c>
      <c r="I24" s="32">
        <f t="shared" si="7"/>
        <v>-62.28550204733795</v>
      </c>
      <c r="J24" s="37">
        <f t="shared" si="8"/>
        <v>152.28550204733796</v>
      </c>
      <c r="K24" s="2"/>
      <c r="L24" s="2"/>
      <c r="M24" s="2"/>
      <c r="N24" s="2"/>
      <c r="O24" s="2"/>
      <c r="P24" s="2"/>
      <c r="Q24" s="3"/>
      <c r="R24" s="2"/>
      <c r="S24" s="2"/>
    </row>
    <row r="25" spans="1:20" ht="15.75" x14ac:dyDescent="0.25">
      <c r="A25" s="2" t="s">
        <v>56</v>
      </c>
      <c r="B25" s="29">
        <f t="shared" si="4"/>
        <v>13.5</v>
      </c>
      <c r="C25" s="29">
        <f t="shared" si="5"/>
        <v>202.5</v>
      </c>
      <c r="D25" s="41">
        <f t="shared" si="0"/>
        <v>0.52633268439293268</v>
      </c>
      <c r="E25" s="42">
        <f t="shared" si="1"/>
        <v>-0.6193377727404985</v>
      </c>
      <c r="F25" s="32">
        <f t="shared" si="2"/>
        <v>0.52633268381674581</v>
      </c>
      <c r="G25" s="32">
        <f t="shared" si="3"/>
        <v>-0.61933777283569702</v>
      </c>
      <c r="H25" s="34">
        <f t="shared" si="6"/>
        <v>0.81277633541056782</v>
      </c>
      <c r="I25" s="32">
        <f t="shared" si="7"/>
        <v>-49.641072166641422</v>
      </c>
      <c r="J25" s="37">
        <f t="shared" si="8"/>
        <v>139.64107216664144</v>
      </c>
      <c r="K25" s="2"/>
      <c r="L25" s="2"/>
      <c r="M25" s="2"/>
      <c r="N25" s="2"/>
      <c r="O25" s="2"/>
      <c r="P25" s="2"/>
      <c r="Q25" s="3"/>
      <c r="R25" s="2"/>
      <c r="S25" s="2"/>
    </row>
    <row r="26" spans="1:20" ht="15.75" x14ac:dyDescent="0.25">
      <c r="A26" s="2" t="s">
        <v>57</v>
      </c>
      <c r="B26" s="29">
        <f t="shared" si="4"/>
        <v>14</v>
      </c>
      <c r="C26" s="29">
        <f t="shared" si="5"/>
        <v>210</v>
      </c>
      <c r="D26" s="41">
        <f t="shared" si="0"/>
        <v>0.70517030492533594</v>
      </c>
      <c r="E26" s="42">
        <f t="shared" si="1"/>
        <v>-0.58374746443066594</v>
      </c>
      <c r="F26" s="32">
        <f t="shared" si="2"/>
        <v>0.70517030438226036</v>
      </c>
      <c r="G26" s="32">
        <f t="shared" si="3"/>
        <v>-0.58374746455821069</v>
      </c>
      <c r="H26" s="34">
        <f t="shared" si="6"/>
        <v>0.91543774292833424</v>
      </c>
      <c r="I26" s="32">
        <f t="shared" si="7"/>
        <v>-39.618318527137056</v>
      </c>
      <c r="J26" s="37">
        <f t="shared" si="8"/>
        <v>129.61831852713706</v>
      </c>
      <c r="K26" s="2"/>
      <c r="L26" s="2"/>
      <c r="M26" s="2"/>
      <c r="N26" s="2"/>
      <c r="O26" s="2"/>
      <c r="P26" s="2"/>
      <c r="Q26" s="3"/>
      <c r="R26" s="2"/>
      <c r="S26" s="2"/>
    </row>
    <row r="27" spans="1:20" ht="15.75" x14ac:dyDescent="0.25">
      <c r="A27" s="2" t="s">
        <v>58</v>
      </c>
      <c r="B27" s="29">
        <f t="shared" si="4"/>
        <v>14.5</v>
      </c>
      <c r="C27" s="29">
        <f t="shared" si="5"/>
        <v>217.5</v>
      </c>
      <c r="D27" s="41">
        <f t="shared" si="0"/>
        <v>0.87194226602717673</v>
      </c>
      <c r="E27" s="42">
        <f t="shared" si="1"/>
        <v>-0.5381690751564463</v>
      </c>
      <c r="F27" s="32">
        <f t="shared" si="2"/>
        <v>0.87194226552650322</v>
      </c>
      <c r="G27" s="32">
        <f t="shared" si="3"/>
        <v>-0.53816907531415559</v>
      </c>
      <c r="H27" s="34">
        <f t="shared" si="6"/>
        <v>1.0246508033175754</v>
      </c>
      <c r="I27" s="32">
        <f t="shared" si="7"/>
        <v>-31.683184843689013</v>
      </c>
      <c r="J27" s="37">
        <f t="shared" si="8"/>
        <v>121.68318484368902</v>
      </c>
      <c r="K27" s="2"/>
      <c r="L27" s="2"/>
      <c r="M27" s="2"/>
      <c r="N27" s="2"/>
      <c r="O27" s="2"/>
      <c r="P27" s="2"/>
      <c r="Q27" s="3"/>
      <c r="R27" s="2"/>
      <c r="S27" s="2"/>
    </row>
    <row r="28" spans="1:20" ht="15.75" x14ac:dyDescent="0.25">
      <c r="A28" s="2" t="s">
        <v>59</v>
      </c>
      <c r="B28" s="29">
        <f t="shared" si="4"/>
        <v>15</v>
      </c>
      <c r="C28" s="29">
        <f t="shared" si="5"/>
        <v>225</v>
      </c>
      <c r="D28" s="41">
        <f t="shared" si="0"/>
        <v>1.0237950532053337</v>
      </c>
      <c r="E28" s="42">
        <f t="shared" si="1"/>
        <v>-0.48338246379524219</v>
      </c>
      <c r="F28" s="32">
        <f t="shared" si="2"/>
        <v>1.0237950527556297</v>
      </c>
      <c r="G28" s="32">
        <f t="shared" si="3"/>
        <v>-0.4833824639804174</v>
      </c>
      <c r="H28" s="34">
        <f t="shared" si="6"/>
        <v>1.1321726534731664</v>
      </c>
      <c r="I28" s="32">
        <f t="shared" si="7"/>
        <v>-25.274230130743781</v>
      </c>
      <c r="J28" s="37">
        <f t="shared" si="8"/>
        <v>115.27423013074377</v>
      </c>
      <c r="K28" s="2"/>
      <c r="L28" s="2"/>
      <c r="M28" s="2"/>
      <c r="N28" s="2"/>
      <c r="O28" s="2"/>
      <c r="P28" s="2"/>
      <c r="Q28" s="3"/>
      <c r="R28" s="2"/>
      <c r="S28" s="2"/>
    </row>
    <row r="29" spans="1:20" ht="15.75" x14ac:dyDescent="0.25">
      <c r="A29" s="2" t="s">
        <v>60</v>
      </c>
      <c r="B29" s="29">
        <f t="shared" si="4"/>
        <v>15.5</v>
      </c>
      <c r="C29" s="29">
        <f t="shared" si="5"/>
        <v>232.5</v>
      </c>
      <c r="D29" s="41">
        <f t="shared" si="0"/>
        <v>1.1581304231689644</v>
      </c>
      <c r="E29" s="42">
        <f t="shared" si="1"/>
        <v>-0.42032504445740693</v>
      </c>
      <c r="F29" s="32">
        <f t="shared" si="2"/>
        <v>1.158130422777925</v>
      </c>
      <c r="G29" s="32">
        <f t="shared" si="3"/>
        <v>-0.42032504466687931</v>
      </c>
      <c r="H29" s="34">
        <f t="shared" si="6"/>
        <v>1.2320467605036935</v>
      </c>
      <c r="I29" s="32">
        <f t="shared" si="7"/>
        <v>-19.947561891946101</v>
      </c>
      <c r="J29" s="37">
        <f t="shared" si="8"/>
        <v>109.94756189194609</v>
      </c>
      <c r="K29" s="2"/>
      <c r="L29" s="2"/>
      <c r="M29" s="2"/>
      <c r="N29" s="2"/>
      <c r="O29" s="6" t="s">
        <v>82</v>
      </c>
      <c r="P29" s="6" t="s">
        <v>83</v>
      </c>
      <c r="Q29" s="3"/>
      <c r="R29" s="2" t="s">
        <v>272</v>
      </c>
      <c r="S29" s="17">
        <v>-1.7</v>
      </c>
      <c r="T29" s="100">
        <v>1.7</v>
      </c>
    </row>
    <row r="30" spans="1:20" ht="15.75" x14ac:dyDescent="0.25">
      <c r="A30" s="2" t="s">
        <v>61</v>
      </c>
      <c r="B30" s="29">
        <f t="shared" si="4"/>
        <v>16</v>
      </c>
      <c r="C30" s="29">
        <f t="shared" si="5"/>
        <v>240</v>
      </c>
      <c r="D30" s="41">
        <f t="shared" si="0"/>
        <v>1.2726498604925922</v>
      </c>
      <c r="E30" s="42">
        <f t="shared" si="1"/>
        <v>-0.35007574707091116</v>
      </c>
      <c r="F30" s="32">
        <f t="shared" si="2"/>
        <v>1.2726498601669074</v>
      </c>
      <c r="G30" s="32">
        <f t="shared" si="3"/>
        <v>-0.35007574730109675</v>
      </c>
      <c r="H30" s="34">
        <f t="shared" si="6"/>
        <v>1.3199207158382926</v>
      </c>
      <c r="I30" s="32">
        <f t="shared" si="7"/>
        <v>-15.380312636891077</v>
      </c>
      <c r="J30" s="37">
        <f t="shared" si="8"/>
        <v>105.38031263689108</v>
      </c>
      <c r="K30" s="2"/>
      <c r="L30" s="2"/>
      <c r="M30" s="2"/>
      <c r="N30" s="2"/>
      <c r="O30" s="51">
        <v>0</v>
      </c>
      <c r="P30" s="51">
        <v>-0.64</v>
      </c>
      <c r="Q30" s="3"/>
      <c r="R30" s="2" t="s">
        <v>273</v>
      </c>
      <c r="S30" s="17">
        <v>-0.7</v>
      </c>
      <c r="T30" s="100">
        <v>0.5</v>
      </c>
    </row>
    <row r="31" spans="1:20" ht="15.75" x14ac:dyDescent="0.25">
      <c r="A31" s="2" t="s">
        <v>62</v>
      </c>
      <c r="B31" s="29">
        <f t="shared" si="4"/>
        <v>16.5</v>
      </c>
      <c r="C31" s="29">
        <f t="shared" si="5"/>
        <v>247.5</v>
      </c>
      <c r="D31" s="41">
        <f t="shared" si="0"/>
        <v>1.3653939058523119</v>
      </c>
      <c r="E31" s="42">
        <f t="shared" si="1"/>
        <v>-0.2738365565911357</v>
      </c>
      <c r="F31" s="32">
        <f t="shared" si="2"/>
        <v>1.3653939055975541</v>
      </c>
      <c r="G31" s="32">
        <f t="shared" si="3"/>
        <v>-0.27383655683809655</v>
      </c>
      <c r="H31" s="34">
        <f t="shared" si="6"/>
        <v>1.3925828441655894</v>
      </c>
      <c r="I31" s="32">
        <f t="shared" si="7"/>
        <v>-11.340504585605146</v>
      </c>
      <c r="J31" s="37">
        <f t="shared" si="8"/>
        <v>101.34050458560515</v>
      </c>
      <c r="K31" s="2"/>
      <c r="L31" s="2"/>
      <c r="M31" s="2"/>
      <c r="N31" s="2"/>
      <c r="O31" s="51">
        <v>0</v>
      </c>
      <c r="P31" s="51">
        <v>0.64</v>
      </c>
      <c r="Q31" s="3"/>
      <c r="R31" s="2"/>
      <c r="S31" s="2"/>
    </row>
    <row r="32" spans="1:20" ht="15.75" x14ac:dyDescent="0.25">
      <c r="A32" s="2" t="s">
        <v>63</v>
      </c>
      <c r="B32" s="29">
        <f t="shared" si="4"/>
        <v>17</v>
      </c>
      <c r="C32" s="29">
        <f t="shared" si="5"/>
        <v>255</v>
      </c>
      <c r="D32" s="41">
        <f t="shared" si="0"/>
        <v>1.4347756829180967</v>
      </c>
      <c r="E32" s="42">
        <f t="shared" si="1"/>
        <v>-0.19291194670502837</v>
      </c>
      <c r="F32" s="32">
        <f t="shared" si="2"/>
        <v>1.4347756827386255</v>
      </c>
      <c r="G32" s="32">
        <f t="shared" si="3"/>
        <v>-0.19291194696453778</v>
      </c>
      <c r="H32" s="34">
        <f t="shared" si="6"/>
        <v>1.4476865266605938</v>
      </c>
      <c r="I32" s="32">
        <f t="shared" si="7"/>
        <v>-7.6577461916909453</v>
      </c>
      <c r="J32" s="37">
        <f t="shared" si="8"/>
        <v>97.657746191690947</v>
      </c>
      <c r="K32" s="2"/>
      <c r="L32" s="2"/>
      <c r="M32" s="2"/>
      <c r="N32" s="2"/>
      <c r="O32" s="2"/>
      <c r="P32" s="2"/>
      <c r="Q32" s="3"/>
      <c r="R32" s="2"/>
      <c r="S32" s="2"/>
    </row>
    <row r="33" spans="1:26" ht="15.75" x14ac:dyDescent="0.25">
      <c r="A33" s="2" t="s">
        <v>64</v>
      </c>
      <c r="B33" s="29">
        <f t="shared" si="4"/>
        <v>17.5</v>
      </c>
      <c r="C33" s="29">
        <f t="shared" si="5"/>
        <v>262.5</v>
      </c>
      <c r="D33" s="41">
        <f t="shared" si="0"/>
        <v>1.4796080502477797</v>
      </c>
      <c r="E33" s="42">
        <f t="shared" si="1"/>
        <v>-0.10868655992463999</v>
      </c>
      <c r="F33" s="32">
        <f t="shared" si="2"/>
        <v>1.4796080501466657</v>
      </c>
      <c r="G33" s="32">
        <f t="shared" si="3"/>
        <v>-0.10868656019225885</v>
      </c>
      <c r="H33" s="34">
        <f t="shared" si="6"/>
        <v>1.4835945371516737</v>
      </c>
      <c r="I33" s="32">
        <f t="shared" si="7"/>
        <v>-4.2011915535669679</v>
      </c>
      <c r="J33" s="37">
        <f t="shared" si="8"/>
        <v>94.201191553566971</v>
      </c>
      <c r="K33" s="2"/>
      <c r="L33" s="2"/>
      <c r="M33" s="2"/>
      <c r="N33" s="2"/>
      <c r="O33" s="2"/>
      <c r="P33" s="2"/>
      <c r="Q33" s="3"/>
      <c r="R33" s="2"/>
      <c r="S33" s="2"/>
    </row>
    <row r="34" spans="1:26" ht="15.75" x14ac:dyDescent="0.25">
      <c r="A34" s="2" t="s">
        <v>65</v>
      </c>
      <c r="B34" s="29">
        <f t="shared" si="4"/>
        <v>18</v>
      </c>
      <c r="C34" s="29">
        <f t="shared" si="5"/>
        <v>270</v>
      </c>
      <c r="D34" s="41">
        <f t="shared" si="0"/>
        <v>1.4991239136062691</v>
      </c>
      <c r="E34" s="42">
        <f t="shared" si="1"/>
        <v>-2.2601515969849259E-2</v>
      </c>
      <c r="F34" s="32">
        <f t="shared" si="2"/>
        <v>1.4991239135852423</v>
      </c>
      <c r="G34" s="32">
        <f t="shared" si="3"/>
        <v>-2.2601516240997994E-2</v>
      </c>
      <c r="H34" s="34">
        <f t="shared" si="6"/>
        <v>1.4992942796096809</v>
      </c>
      <c r="I34" s="32">
        <f t="shared" si="7"/>
        <v>-0.86375339710778443</v>
      </c>
      <c r="J34" s="37">
        <f t="shared" si="8"/>
        <v>90.863753397107786</v>
      </c>
      <c r="K34" s="2"/>
      <c r="L34" s="2"/>
      <c r="M34" s="2"/>
      <c r="N34" s="2"/>
      <c r="O34" s="2"/>
      <c r="P34" s="2"/>
      <c r="Q34" s="3"/>
      <c r="R34" s="2"/>
      <c r="S34" s="2"/>
    </row>
    <row r="35" spans="1:26" ht="15.75" x14ac:dyDescent="0.25">
      <c r="A35" s="2" t="s">
        <v>80</v>
      </c>
      <c r="B35" s="29">
        <f t="shared" ref="B35:B36" si="9">VALUE(LEFT(A35,2)+VALUE(RIGHT(A35,2))/60)</f>
        <v>18.5</v>
      </c>
      <c r="C35" s="29">
        <f t="shared" ref="C35:C36" si="10">B35*15</f>
        <v>277.5</v>
      </c>
      <c r="D35" s="41">
        <f t="shared" si="0"/>
        <v>1.4929893511605945</v>
      </c>
      <c r="E35" s="42">
        <f t="shared" si="1"/>
        <v>6.3870246189610499E-2</v>
      </c>
      <c r="F35" s="32">
        <f t="shared" si="2"/>
        <v>1.4929893512200147</v>
      </c>
      <c r="G35" s="32">
        <f t="shared" si="3"/>
        <v>6.3870245919571481E-2</v>
      </c>
      <c r="H35" s="34">
        <f t="shared" ref="H35:H36" si="11">SQRT(D35^2+E35^2)</f>
        <v>1.4943549146796602</v>
      </c>
      <c r="I35" s="32">
        <f t="shared" ref="I35:I36" si="12">180/3.141592654*ATAN(E35/D35)</f>
        <v>2.4496259988837266</v>
      </c>
      <c r="J35" s="37">
        <f t="shared" ref="J35:J36" si="13">IF(D35&lt;=0,270-I35,90-I35)</f>
        <v>87.550374001116268</v>
      </c>
      <c r="K35" s="2"/>
      <c r="L35" s="2"/>
      <c r="M35" s="2"/>
      <c r="N35" s="2"/>
      <c r="O35" s="2"/>
      <c r="P35" s="2"/>
      <c r="Q35" s="3"/>
      <c r="R35" s="2"/>
      <c r="S35" s="2"/>
    </row>
    <row r="36" spans="1:26" ht="16.5" thickBot="1" x14ac:dyDescent="0.3">
      <c r="A36" s="2" t="s">
        <v>81</v>
      </c>
      <c r="B36" s="29">
        <f t="shared" si="9"/>
        <v>19</v>
      </c>
      <c r="C36" s="29">
        <f t="shared" si="10"/>
        <v>285</v>
      </c>
      <c r="D36" s="43">
        <f t="shared" si="0"/>
        <v>1.4613093269750508</v>
      </c>
      <c r="E36" s="44">
        <f t="shared" si="1"/>
        <v>0.14924917072830332</v>
      </c>
      <c r="F36" s="32">
        <f t="shared" si="2"/>
        <v>1.4613093271139015</v>
      </c>
      <c r="G36" s="32">
        <f t="shared" si="3"/>
        <v>0.14924917046399416</v>
      </c>
      <c r="H36" s="35">
        <f t="shared" si="11"/>
        <v>1.4689112512563045</v>
      </c>
      <c r="I36" s="32">
        <f t="shared" si="12"/>
        <v>5.8316183830271413</v>
      </c>
      <c r="J36" s="38">
        <f t="shared" si="13"/>
        <v>84.168381616972852</v>
      </c>
      <c r="K36" s="2"/>
      <c r="L36" s="2"/>
      <c r="M36" s="2"/>
      <c r="N36" s="2"/>
      <c r="O36" s="2"/>
      <c r="P36" s="2"/>
      <c r="Q36" s="3"/>
      <c r="R36" s="2"/>
      <c r="S36" s="2"/>
    </row>
    <row r="37" spans="1:26" ht="21" thickBo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53" t="s">
        <v>84</v>
      </c>
      <c r="P37" s="2"/>
      <c r="Q37" s="3"/>
      <c r="S37" s="2"/>
      <c r="T37" s="2"/>
      <c r="U37" s="2"/>
      <c r="V37" s="53" t="s">
        <v>33</v>
      </c>
    </row>
    <row r="38" spans="1:26" ht="16.5" thickBot="1" x14ac:dyDescent="0.3">
      <c r="A38" s="6" t="s">
        <v>6</v>
      </c>
      <c r="B38" s="20" t="s">
        <v>35</v>
      </c>
      <c r="C38" s="20" t="s">
        <v>36</v>
      </c>
      <c r="D38" s="16" t="s">
        <v>34</v>
      </c>
      <c r="E38" s="50" t="s">
        <v>37</v>
      </c>
      <c r="F38" s="28" t="s">
        <v>39</v>
      </c>
      <c r="I38" s="50" t="s">
        <v>38</v>
      </c>
      <c r="K38" s="50" t="s">
        <v>79</v>
      </c>
      <c r="L38" s="50" t="s">
        <v>78</v>
      </c>
      <c r="M38" s="50" t="s">
        <v>37</v>
      </c>
      <c r="N38" s="2"/>
      <c r="Q38" s="101" t="s">
        <v>269</v>
      </c>
      <c r="R38" s="102"/>
      <c r="S38" s="102"/>
      <c r="T38" s="102"/>
      <c r="U38" s="103"/>
      <c r="V38" s="101" t="s">
        <v>85</v>
      </c>
      <c r="W38" s="102"/>
      <c r="X38" s="102"/>
      <c r="Y38" s="102"/>
      <c r="Z38" s="103"/>
    </row>
    <row r="39" spans="1:26" ht="24" customHeight="1" thickBot="1" x14ac:dyDescent="0.3">
      <c r="A39" s="4" t="s">
        <v>7</v>
      </c>
      <c r="B39" s="2"/>
      <c r="C39" s="2"/>
      <c r="D39" s="2"/>
      <c r="F39" s="2"/>
      <c r="J39" s="2"/>
      <c r="K39" s="70" t="s">
        <v>226</v>
      </c>
      <c r="L39" s="71" t="s">
        <v>227</v>
      </c>
      <c r="M39" s="72" t="s">
        <v>228</v>
      </c>
      <c r="N39" s="2"/>
      <c r="O39" s="88" t="s">
        <v>7</v>
      </c>
      <c r="P39" s="90" t="s">
        <v>86</v>
      </c>
      <c r="Q39" s="91" t="s">
        <v>87</v>
      </c>
      <c r="R39" s="92" t="s">
        <v>76</v>
      </c>
      <c r="S39" s="89" t="s">
        <v>88</v>
      </c>
      <c r="T39" s="54" t="s">
        <v>89</v>
      </c>
      <c r="U39" s="55" t="s">
        <v>90</v>
      </c>
      <c r="V39" s="99" t="s">
        <v>87</v>
      </c>
      <c r="W39" s="99" t="s">
        <v>76</v>
      </c>
      <c r="X39" s="54" t="s">
        <v>88</v>
      </c>
      <c r="Y39" s="54" t="s">
        <v>89</v>
      </c>
      <c r="Z39" s="55" t="s">
        <v>90</v>
      </c>
    </row>
    <row r="40" spans="1:26" ht="17.25" thickTop="1" thickBot="1" x14ac:dyDescent="0.3">
      <c r="A40" s="19" t="s">
        <v>11</v>
      </c>
      <c r="B40" s="21">
        <f>VALUE(LEFT($A40,2))</f>
        <v>1</v>
      </c>
      <c r="C40" s="21">
        <f>VALUE(MID($A40,4,2))</f>
        <v>1</v>
      </c>
      <c r="D40" s="21">
        <f t="shared" ref="D40:D43" si="14">31*(C40-1)+B40-1-IF(C40&lt;=2,0,INT(0.4*C40+2.3))</f>
        <v>0</v>
      </c>
      <c r="E40" s="25">
        <f>ASIN(SIN(-23.44/180*3.141592654)*COS(360/365.24*((D40+10)+360/3.141592654*0.016709*SIN(360/365.24*(D40-2)/180*3.141592654))/180*3.141592654))*180/3.141592654</f>
        <v>-23.078619175407177</v>
      </c>
      <c r="F40" s="24">
        <f>(D40+10)/365.24*360</f>
        <v>9.8565326908334239</v>
      </c>
      <c r="G40" s="46">
        <f>F40+360/3.141592654*0.016709*SIN((D40-2)/365.24*360/180*3.141592654)</f>
        <v>9.7906685652707068</v>
      </c>
      <c r="H40" s="45">
        <f>(F40-180/3.141592654*ATAN(TAN(G40/180*3.141592654)/COS(23.44/180*3.141592654)))/180</f>
        <v>-4.4189641810631957E-3</v>
      </c>
      <c r="I40" s="47">
        <f>720*(H40-INT(H40+0.5))</f>
        <v>-3.181654210365501</v>
      </c>
      <c r="J40" s="2"/>
      <c r="K40" s="39">
        <f>-$G$6*$I40/4/180*3.141592654</f>
        <v>2.0823878114275895E-2</v>
      </c>
      <c r="L40" s="33">
        <f t="shared" ref="L40:L71" si="15">$G$6*TAN($M40/180*3.141592654)*COS($C$8/180*3.141592654)</f>
        <v>-0.57198406866946139</v>
      </c>
      <c r="M40" s="73">
        <v>-23.0183</v>
      </c>
      <c r="N40" s="2"/>
      <c r="O40" s="56">
        <v>43103</v>
      </c>
      <c r="P40" s="61" t="s">
        <v>91</v>
      </c>
      <c r="Q40" s="93" t="s">
        <v>92</v>
      </c>
      <c r="R40" s="94" t="s">
        <v>93</v>
      </c>
      <c r="S40" s="87">
        <f>0.001*K$6/TAN((VALUE(LEFT($Q40,3))+VALUE(MID($Q40,6,2))/60+VALUE(MID($Q40,10,2))/60/60)/180*3.142)</f>
        <v>0.36594799517422977</v>
      </c>
      <c r="T40" s="62">
        <f>S40*COS((90-(VALUE(LEFT(R40,3))+VALUE(MID(R40,6,2))/60+VALUE(MID(R40,10,2))/60/60)+180)/180*3.142)</f>
        <v>-0.36229572478906047</v>
      </c>
      <c r="U40" s="60">
        <f t="shared" ref="U40:U66" si="16">S40*SIN((90-(VALUE(LEFT(R40,3))+VALUE(MID(R40,6,2))/60+VALUE(MID(R40,10,2))/60/60)+180)/180*3.142)+1</f>
        <v>0.94842730401067388</v>
      </c>
      <c r="V40" s="57" t="s">
        <v>94</v>
      </c>
      <c r="W40" s="61" t="s">
        <v>95</v>
      </c>
      <c r="X40" s="62">
        <f t="shared" ref="X40:X66" si="17">0.001*$K$6/TAN((VALUE(LEFT(V40,3))+VALUE(MID(V40,6,2))/60+VALUE(MID(V40,10,2))/60/60)/180*3.142)</f>
        <v>0.11182656425123202</v>
      </c>
      <c r="Y40" s="59">
        <f t="shared" ref="Y40" si="18">X40*COS((90-(VALUE(LEFT(W40,3))+VALUE(MID(W40,6,2))/60+VALUE(MID(W40,10,2))/60/60)+180)/180*3.142)</f>
        <v>4.5970462333430183E-2</v>
      </c>
      <c r="Z40" s="60">
        <f t="shared" ref="Z40:Z66" si="19">X40*SIN((90-(VALUE(LEFT(W40,3))+VALUE(MID(W40,6,2))/60+VALUE(MID(W40,10,2))/60/60)+180)/180*3.142)+1</f>
        <v>0.8980593453764123</v>
      </c>
    </row>
    <row r="41" spans="1:26" ht="16.5" thickBot="1" x14ac:dyDescent="0.3">
      <c r="A41" s="19" t="s">
        <v>229</v>
      </c>
      <c r="B41" s="21">
        <f t="shared" ref="B41:B97" si="20">VALUE(LEFT($A41,2))</f>
        <v>7</v>
      </c>
      <c r="C41" s="21">
        <f t="shared" ref="C41:C97" si="21">VALUE(MID($A41,4,2))</f>
        <v>1</v>
      </c>
      <c r="D41" s="21">
        <f t="shared" si="14"/>
        <v>6</v>
      </c>
      <c r="E41" s="26">
        <f t="shared" ref="E41:E97" si="22">ASIN(SIN(-23.44/180*3.141592654)*COS(360/365.24*((D41+10)+360/3.141592654*0.016709*SIN(360/365.24*(D41-2)/180*3.141592654))/180*3.141592654))*180/3.141592654</f>
        <v>-22.49291795332552</v>
      </c>
      <c r="F41" s="24">
        <f t="shared" ref="F41:F97" si="23">(D41+10)/365.24*360</f>
        <v>15.77045230533348</v>
      </c>
      <c r="G41" s="46">
        <f t="shared" ref="G41:G97" si="24">F41+360/3.141592654*0.016709*SIN(360/365.24*(D41-2)/180*3.141592654)</f>
        <v>15.902102596940399</v>
      </c>
      <c r="H41" s="45">
        <f t="shared" ref="H41:H97" si="25">(F41-180/3.141592654*ATAN(TAN(G41/180*3.141592654)/COS(23.44/180*3.141592654)))/180</f>
        <v>-8.2238053739793603E-3</v>
      </c>
      <c r="I41" s="48">
        <f t="shared" ref="I41:I96" si="26">720*(H41-INT(H41+0.5))</f>
        <v>-5.9211398692651391</v>
      </c>
      <c r="J41" s="2"/>
      <c r="K41" s="41">
        <f>-$G$6*$I41/4/180*3.141592654</f>
        <v>3.8753769826228919E-2</v>
      </c>
      <c r="L41" s="34">
        <f t="shared" si="15"/>
        <v>-0.5513952873499901</v>
      </c>
      <c r="M41" s="74">
        <v>-22.271999999999998</v>
      </c>
      <c r="N41" s="2"/>
      <c r="O41" s="56">
        <v>43117</v>
      </c>
      <c r="P41" s="61" t="s">
        <v>96</v>
      </c>
      <c r="Q41" s="95" t="s">
        <v>97</v>
      </c>
      <c r="R41" s="96" t="s">
        <v>98</v>
      </c>
      <c r="S41" s="58">
        <f>0.001*K$6/TAN((VALUE(LEFT($Q41,3))+VALUE(MID($Q41,6,2))/60+VALUE(MID($Q41,10,2))/60/60)/180*3.142)</f>
        <v>0.3955177442758368</v>
      </c>
      <c r="T41" s="65">
        <f t="shared" ref="T41:T66" si="27">S41*COS((90-(VALUE(LEFT(R41,3))+VALUE(MID(R41,6,2))/60+VALUE(MID(R41,10,2))/60/60)+180)/180*3.142)</f>
        <v>-0.38940033499235166</v>
      </c>
      <c r="U41" s="64">
        <f t="shared" si="16"/>
        <v>0.93070595159113201</v>
      </c>
      <c r="V41" s="57" t="s">
        <v>99</v>
      </c>
      <c r="W41" s="61" t="s">
        <v>100</v>
      </c>
      <c r="X41" s="65">
        <f t="shared" si="17"/>
        <v>0.12659844716145224</v>
      </c>
      <c r="Y41" s="63">
        <f t="shared" ref="Y41" si="28">X41*COS((90-(VALUE(LEFT(W41,3))+VALUE(MID(W41,6,2))/60+VALUE(MID(W41,10,2))/60/60)+180)/180*3.142)</f>
        <v>3.5227021448461258E-2</v>
      </c>
      <c r="Z41" s="64">
        <f t="shared" si="19"/>
        <v>0.87840138247677046</v>
      </c>
    </row>
    <row r="42" spans="1:26" ht="16.5" thickBot="1" x14ac:dyDescent="0.3">
      <c r="A42" s="19" t="s">
        <v>12</v>
      </c>
      <c r="B42" s="21">
        <f t="shared" si="20"/>
        <v>15</v>
      </c>
      <c r="C42" s="21">
        <f t="shared" si="21"/>
        <v>1</v>
      </c>
      <c r="D42" s="21">
        <f t="shared" si="14"/>
        <v>14</v>
      </c>
      <c r="E42" s="26">
        <f t="shared" si="22"/>
        <v>-21.301630493431126</v>
      </c>
      <c r="F42" s="24">
        <f t="shared" si="23"/>
        <v>23.655678458000217</v>
      </c>
      <c r="G42" s="46">
        <f t="shared" si="24"/>
        <v>24.048139791761002</v>
      </c>
      <c r="H42" s="45">
        <f t="shared" si="25"/>
        <v>-1.2674132458754567E-2</v>
      </c>
      <c r="I42" s="48">
        <f t="shared" si="26"/>
        <v>-9.1253753703032885</v>
      </c>
      <c r="J42" s="2"/>
      <c r="K42" s="41">
        <f t="shared" ref="K42:K95" si="29">-$G$6*$I42/4/180*3.141592654</f>
        <v>5.972544214236946E-2</v>
      </c>
      <c r="L42" s="34">
        <f t="shared" si="15"/>
        <v>-0.52133604142981826</v>
      </c>
      <c r="M42" s="75">
        <v>-21.167999999999999</v>
      </c>
      <c r="N42" s="2"/>
      <c r="O42" s="56">
        <v>43131</v>
      </c>
      <c r="P42" s="61" t="s">
        <v>101</v>
      </c>
      <c r="Q42" s="95" t="s">
        <v>102</v>
      </c>
      <c r="R42" s="96" t="s">
        <v>103</v>
      </c>
      <c r="S42" s="58">
        <f t="shared" ref="S42:S66" si="30">0.001*K$6/TAN((VALUE(LEFT($Q42,3))+VALUE(MID($Q42,6,2))/60+VALUE(MID($Q42,10,2))/60/60)/180*3.142)</f>
        <v>0.43123332351508858</v>
      </c>
      <c r="T42" s="65">
        <f t="shared" si="27"/>
        <v>-0.41851446935321446</v>
      </c>
      <c r="U42" s="64">
        <f t="shared" si="16"/>
        <v>0.89603934276916886</v>
      </c>
      <c r="V42" s="57" t="s">
        <v>104</v>
      </c>
      <c r="W42" s="61" t="s">
        <v>105</v>
      </c>
      <c r="X42" s="65">
        <f t="shared" si="17"/>
        <v>0.15625427295589961</v>
      </c>
      <c r="Y42" s="63">
        <f t="shared" ref="Y42:Y66" si="31">X42*COS((90-(VALUE(LEFT(W42,3))+VALUE(MID(W42,6,2))/60+VALUE(MID(W42,10,2))/60/60)+180)/180*3.142)</f>
        <v>2.9233014473386495E-2</v>
      </c>
      <c r="Z42" s="64">
        <f t="shared" si="19"/>
        <v>0.84650462977087693</v>
      </c>
    </row>
    <row r="43" spans="1:26" ht="16.5" thickBot="1" x14ac:dyDescent="0.3">
      <c r="A43" s="19" t="s">
        <v>230</v>
      </c>
      <c r="B43" s="21">
        <f t="shared" si="20"/>
        <v>22</v>
      </c>
      <c r="C43" s="21">
        <f t="shared" si="21"/>
        <v>1</v>
      </c>
      <c r="D43" s="21">
        <f t="shared" si="14"/>
        <v>21</v>
      </c>
      <c r="E43" s="26">
        <f t="shared" si="22"/>
        <v>-19.900856706757732</v>
      </c>
      <c r="F43" s="24">
        <f t="shared" si="23"/>
        <v>30.555251341583613</v>
      </c>
      <c r="G43" s="46">
        <f t="shared" si="24"/>
        <v>31.169999985372655</v>
      </c>
      <c r="H43" s="45">
        <f t="shared" si="25"/>
        <v>-1.5789989044235023E-2</v>
      </c>
      <c r="I43" s="48">
        <f t="shared" si="26"/>
        <v>-11.368792111849217</v>
      </c>
      <c r="J43" s="2"/>
      <c r="K43" s="41">
        <f t="shared" si="29"/>
        <v>7.4408570382163849E-2</v>
      </c>
      <c r="L43" s="34">
        <f t="shared" si="15"/>
        <v>-0.4829253209001611</v>
      </c>
      <c r="M43" s="75">
        <v>-19.733000000000001</v>
      </c>
      <c r="N43" s="2"/>
      <c r="O43" s="56">
        <v>43145</v>
      </c>
      <c r="P43" s="61" t="s">
        <v>106</v>
      </c>
      <c r="Q43" s="95" t="s">
        <v>107</v>
      </c>
      <c r="R43" s="96" t="s">
        <v>108</v>
      </c>
      <c r="S43" s="58">
        <f t="shared" si="30"/>
        <v>0.47326871320867275</v>
      </c>
      <c r="T43" s="65">
        <f t="shared" si="27"/>
        <v>-0.44712688626045682</v>
      </c>
      <c r="U43" s="64">
        <f t="shared" si="16"/>
        <v>0.84488448663908089</v>
      </c>
      <c r="V43" s="57" t="s">
        <v>109</v>
      </c>
      <c r="W43" s="61" t="s">
        <v>110</v>
      </c>
      <c r="X43" s="65">
        <f t="shared" si="17"/>
        <v>0.19855057851460925</v>
      </c>
      <c r="Y43" s="63">
        <f t="shared" si="31"/>
        <v>2.8982883856558644E-2</v>
      </c>
      <c r="Z43" s="64">
        <f t="shared" si="19"/>
        <v>0.80357616063256665</v>
      </c>
    </row>
    <row r="44" spans="1:26" ht="16.5" thickBot="1" x14ac:dyDescent="0.3">
      <c r="A44" s="19" t="s">
        <v>13</v>
      </c>
      <c r="B44" s="21">
        <f t="shared" si="20"/>
        <v>1</v>
      </c>
      <c r="C44" s="21">
        <f t="shared" si="21"/>
        <v>2</v>
      </c>
      <c r="D44" s="21">
        <f>31*(C44-1)+B44-1-IF(C44&lt;=2,0,INT(0.4*C44+2.3))</f>
        <v>31</v>
      </c>
      <c r="E44" s="26">
        <f t="shared" si="22"/>
        <v>-17.384146659470403</v>
      </c>
      <c r="F44" s="24">
        <f t="shared" si="23"/>
        <v>40.411784032417039</v>
      </c>
      <c r="G44" s="46">
        <f t="shared" si="24"/>
        <v>41.327869189511276</v>
      </c>
      <c r="H44" s="45">
        <f t="shared" si="25"/>
        <v>-1.8742923183638363E-2</v>
      </c>
      <c r="I44" s="48">
        <f t="shared" si="26"/>
        <v>-13.494904692219622</v>
      </c>
      <c r="J44" s="2"/>
      <c r="K44" s="41">
        <f t="shared" si="29"/>
        <v>8.8323944682306879E-2</v>
      </c>
      <c r="L44" s="34">
        <f t="shared" si="15"/>
        <v>-0.41605876594507996</v>
      </c>
      <c r="M44" s="74">
        <v>-17.172999999999998</v>
      </c>
      <c r="N44" s="2"/>
      <c r="O44" s="56">
        <v>43159</v>
      </c>
      <c r="P44" s="61" t="s">
        <v>111</v>
      </c>
      <c r="Q44" s="95" t="s">
        <v>112</v>
      </c>
      <c r="R44" s="96" t="s">
        <v>113</v>
      </c>
      <c r="S44" s="58">
        <f t="shared" si="30"/>
        <v>0.52321302298079453</v>
      </c>
      <c r="T44" s="65">
        <f t="shared" si="27"/>
        <v>-0.47397235630448298</v>
      </c>
      <c r="U44" s="64">
        <f t="shared" si="16"/>
        <v>0.7784101246088222</v>
      </c>
      <c r="V44" s="57" t="s">
        <v>114</v>
      </c>
      <c r="W44" s="61" t="s">
        <v>115</v>
      </c>
      <c r="X44" s="65">
        <f t="shared" si="17"/>
        <v>0.25178510558230077</v>
      </c>
      <c r="Y44" s="63">
        <f t="shared" si="31"/>
        <v>3.4567408175221151E-2</v>
      </c>
      <c r="Z44" s="64">
        <f t="shared" si="19"/>
        <v>0.7505990503523734</v>
      </c>
    </row>
    <row r="45" spans="1:26" ht="16.5" thickBot="1" x14ac:dyDescent="0.3">
      <c r="A45" s="19" t="s">
        <v>231</v>
      </c>
      <c r="B45" s="21">
        <f t="shared" si="20"/>
        <v>10</v>
      </c>
      <c r="C45" s="21">
        <f t="shared" si="21"/>
        <v>2</v>
      </c>
      <c r="D45" s="21">
        <f t="shared" ref="D45:D95" si="32">31*(C45-1)+B45-1-IF(C45&lt;=2,0,INT(0.4*C45+2.3))</f>
        <v>40</v>
      </c>
      <c r="E45" s="26">
        <f t="shared" si="22"/>
        <v>-14.678649201892684</v>
      </c>
      <c r="F45" s="24">
        <f t="shared" si="23"/>
        <v>49.282663454167121</v>
      </c>
      <c r="G45" s="46">
        <f t="shared" si="24"/>
        <v>50.447067193825745</v>
      </c>
      <c r="H45" s="45">
        <f t="shared" si="25"/>
        <v>-1.9804848625503347E-2</v>
      </c>
      <c r="I45" s="48">
        <f t="shared" si="26"/>
        <v>-14.25949101036241</v>
      </c>
      <c r="J45" s="2"/>
      <c r="K45" s="41">
        <f t="shared" si="29"/>
        <v>9.3328150433194978E-2</v>
      </c>
      <c r="L45" s="34">
        <f t="shared" si="15"/>
        <v>-0.34655153085422619</v>
      </c>
      <c r="M45" s="75">
        <v>-14.435</v>
      </c>
      <c r="N45" s="2"/>
      <c r="O45" s="56">
        <v>43173</v>
      </c>
      <c r="P45" s="61" t="s">
        <v>116</v>
      </c>
      <c r="Q45" s="95" t="s">
        <v>117</v>
      </c>
      <c r="R45" s="96" t="s">
        <v>118</v>
      </c>
      <c r="S45" s="58">
        <f t="shared" si="30"/>
        <v>0.58347480541620422</v>
      </c>
      <c r="T45" s="65">
        <f t="shared" si="27"/>
        <v>-0.49923501297204437</v>
      </c>
      <c r="U45" s="64">
        <f t="shared" si="16"/>
        <v>0.69799461862695222</v>
      </c>
      <c r="V45" s="57" t="s">
        <v>119</v>
      </c>
      <c r="W45" s="61" t="s">
        <v>120</v>
      </c>
      <c r="X45" s="65">
        <f t="shared" si="17"/>
        <v>0.31512765181759589</v>
      </c>
      <c r="Y45" s="63">
        <f t="shared" si="31"/>
        <v>4.5337717030252696E-2</v>
      </c>
      <c r="Z45" s="64">
        <f t="shared" si="19"/>
        <v>0.68815079228165943</v>
      </c>
    </row>
    <row r="46" spans="1:26" ht="16.5" thickBot="1" x14ac:dyDescent="0.3">
      <c r="A46" s="19" t="s">
        <v>232</v>
      </c>
      <c r="B46" s="21">
        <f t="shared" si="20"/>
        <v>20</v>
      </c>
      <c r="C46" s="21">
        <f t="shared" si="21"/>
        <v>2</v>
      </c>
      <c r="D46" s="21">
        <f t="shared" si="32"/>
        <v>50</v>
      </c>
      <c r="E46" s="26">
        <f t="shared" si="22"/>
        <v>-11.286835172650131</v>
      </c>
      <c r="F46" s="24">
        <f t="shared" si="23"/>
        <v>59.13919614500054</v>
      </c>
      <c r="G46" s="46">
        <f t="shared" si="24"/>
        <v>60.546602085023295</v>
      </c>
      <c r="H46" s="45">
        <f t="shared" si="25"/>
        <v>-1.9289878347334068E-2</v>
      </c>
      <c r="I46" s="48">
        <f t="shared" si="26"/>
        <v>-13.888712410080529</v>
      </c>
      <c r="J46" s="2"/>
      <c r="K46" s="41">
        <f t="shared" si="29"/>
        <v>9.0901410168807553E-2</v>
      </c>
      <c r="L46" s="34">
        <f t="shared" si="15"/>
        <v>-0.26172137550300062</v>
      </c>
      <c r="M46" s="75">
        <v>-11.000999999999999</v>
      </c>
      <c r="N46" s="2"/>
      <c r="O46" s="56">
        <v>43187</v>
      </c>
      <c r="P46" s="61" t="s">
        <v>121</v>
      </c>
      <c r="Q46" s="95" t="s">
        <v>122</v>
      </c>
      <c r="R46" s="96" t="s">
        <v>123</v>
      </c>
      <c r="S46" s="58">
        <f t="shared" si="30"/>
        <v>0.65708106195370197</v>
      </c>
      <c r="T46" s="65">
        <f t="shared" si="27"/>
        <v>-0.52486167190652944</v>
      </c>
      <c r="U46" s="64">
        <f t="shared" si="16"/>
        <v>0.60468272572313853</v>
      </c>
      <c r="V46" s="57" t="s">
        <v>124</v>
      </c>
      <c r="W46" s="61" t="s">
        <v>125</v>
      </c>
      <c r="X46" s="65">
        <f t="shared" si="17"/>
        <v>0.38816462708997063</v>
      </c>
      <c r="Y46" s="63">
        <f t="shared" si="31"/>
        <v>5.9841388481823174E-2</v>
      </c>
      <c r="Z46" s="64">
        <f t="shared" si="19"/>
        <v>0.61647583394463457</v>
      </c>
    </row>
    <row r="47" spans="1:26" ht="16.5" thickBot="1" x14ac:dyDescent="0.3">
      <c r="A47" s="19" t="s">
        <v>14</v>
      </c>
      <c r="B47" s="21">
        <f t="shared" si="20"/>
        <v>1</v>
      </c>
      <c r="C47" s="21">
        <f t="shared" si="21"/>
        <v>3</v>
      </c>
      <c r="D47" s="21">
        <f t="shared" si="32"/>
        <v>59</v>
      </c>
      <c r="E47" s="26">
        <f t="shared" si="22"/>
        <v>-7.9784706612890526</v>
      </c>
      <c r="F47" s="24">
        <f t="shared" si="23"/>
        <v>68.010075566750629</v>
      </c>
      <c r="G47" s="46">
        <f t="shared" si="24"/>
        <v>69.600839830764372</v>
      </c>
      <c r="H47" s="45">
        <f t="shared" si="25"/>
        <v>-1.7504031122427852E-2</v>
      </c>
      <c r="I47" s="48">
        <f t="shared" si="26"/>
        <v>-12.602902408148054</v>
      </c>
      <c r="J47" s="2"/>
      <c r="K47" s="41">
        <f t="shared" si="29"/>
        <v>8.2485803384410084E-2</v>
      </c>
      <c r="L47" s="34">
        <f t="shared" si="15"/>
        <v>-0.18174171733134223</v>
      </c>
      <c r="M47" s="75">
        <v>-7.6879999999999997</v>
      </c>
      <c r="N47" s="2"/>
      <c r="O47" s="56">
        <v>43201</v>
      </c>
      <c r="P47" s="61" t="s">
        <v>126</v>
      </c>
      <c r="Q47" s="95" t="s">
        <v>127</v>
      </c>
      <c r="R47" s="96" t="s">
        <v>128</v>
      </c>
      <c r="S47" s="58">
        <f t="shared" si="30"/>
        <v>0.74640734470327053</v>
      </c>
      <c r="T47" s="65">
        <f t="shared" si="27"/>
        <v>-0.55363745643685069</v>
      </c>
      <c r="U47" s="64">
        <f t="shared" si="16"/>
        <v>0.49939087997008969</v>
      </c>
      <c r="V47" s="57" t="s">
        <v>129</v>
      </c>
      <c r="W47" s="61" t="s">
        <v>130</v>
      </c>
      <c r="X47" s="65">
        <f t="shared" si="17"/>
        <v>0.47002037503416344</v>
      </c>
      <c r="Y47" s="63">
        <f t="shared" si="31"/>
        <v>7.6144508841548775E-2</v>
      </c>
      <c r="Z47" s="64">
        <f t="shared" si="19"/>
        <v>0.53618843619360357</v>
      </c>
    </row>
    <row r="48" spans="1:26" ht="16.5" thickBot="1" x14ac:dyDescent="0.3">
      <c r="A48" s="19" t="s">
        <v>233</v>
      </c>
      <c r="B48" s="21">
        <f t="shared" si="20"/>
        <v>10</v>
      </c>
      <c r="C48" s="21">
        <f t="shared" si="21"/>
        <v>3</v>
      </c>
      <c r="D48" s="21">
        <f t="shared" si="32"/>
        <v>68</v>
      </c>
      <c r="E48" s="26">
        <f t="shared" si="22"/>
        <v>-4.5126665188029449</v>
      </c>
      <c r="F48" s="24">
        <f t="shared" si="23"/>
        <v>76.880954988500704</v>
      </c>
      <c r="G48" s="46">
        <f t="shared" si="24"/>
        <v>78.617021308490507</v>
      </c>
      <c r="H48" s="45">
        <f t="shared" si="25"/>
        <v>-1.4743171515839907E-2</v>
      </c>
      <c r="I48" s="48">
        <f t="shared" si="26"/>
        <v>-10.615083491404732</v>
      </c>
      <c r="J48" s="2"/>
      <c r="K48" s="41">
        <f t="shared" si="29"/>
        <v>6.947555899623703E-2</v>
      </c>
      <c r="L48" s="34">
        <f t="shared" si="15"/>
        <v>-9.9150638491686996E-2</v>
      </c>
      <c r="M48" s="75">
        <v>-4.2119999999999997</v>
      </c>
      <c r="N48" s="2"/>
      <c r="O48" s="56">
        <v>43215</v>
      </c>
      <c r="P48" s="61" t="s">
        <v>131</v>
      </c>
      <c r="Q48" s="95" t="s">
        <v>132</v>
      </c>
      <c r="R48" s="96" t="s">
        <v>133</v>
      </c>
      <c r="S48" s="58">
        <f t="shared" si="30"/>
        <v>0.85272011136753068</v>
      </c>
      <c r="T48" s="65">
        <f t="shared" si="27"/>
        <v>-0.58914839839979893</v>
      </c>
      <c r="U48" s="64">
        <f t="shared" si="16"/>
        <v>0.38352960087802623</v>
      </c>
      <c r="V48" s="57" t="s">
        <v>134</v>
      </c>
      <c r="W48" s="61" t="s">
        <v>135</v>
      </c>
      <c r="X48" s="65">
        <f t="shared" si="17"/>
        <v>0.55828450224852966</v>
      </c>
      <c r="Y48" s="63">
        <f t="shared" si="31"/>
        <v>9.152786861896639E-2</v>
      </c>
      <c r="Z48" s="64">
        <f t="shared" si="19"/>
        <v>0.44926936283065044</v>
      </c>
    </row>
    <row r="49" spans="1:26" ht="16.5" thickBot="1" x14ac:dyDescent="0.3">
      <c r="A49" s="19" t="s">
        <v>234</v>
      </c>
      <c r="B49" s="21">
        <f t="shared" si="20"/>
        <v>20</v>
      </c>
      <c r="C49" s="21">
        <f t="shared" si="21"/>
        <v>3</v>
      </c>
      <c r="D49" s="21">
        <f t="shared" si="32"/>
        <v>78</v>
      </c>
      <c r="E49" s="26">
        <f t="shared" si="22"/>
        <v>-0.57290406440848107</v>
      </c>
      <c r="F49" s="24">
        <f t="shared" si="23"/>
        <v>86.737487679334137</v>
      </c>
      <c r="G49" s="46">
        <f t="shared" si="24"/>
        <v>88.586172096350722</v>
      </c>
      <c r="H49" s="45">
        <f t="shared" si="25"/>
        <v>-1.091842155454259E-2</v>
      </c>
      <c r="I49" s="48">
        <f t="shared" si="26"/>
        <v>-7.8612635192706648</v>
      </c>
      <c r="J49" s="2"/>
      <c r="K49" s="41">
        <f t="shared" si="29"/>
        <v>5.1451849423539392E-2</v>
      </c>
      <c r="L49" s="34">
        <f t="shared" si="15"/>
        <v>6.2739092375485297E-3</v>
      </c>
      <c r="M49" s="75">
        <v>0.26700000000000002</v>
      </c>
      <c r="N49" s="2"/>
      <c r="O49" s="56">
        <v>43229</v>
      </c>
      <c r="P49" s="61" t="s">
        <v>136</v>
      </c>
      <c r="Q49" s="95" t="s">
        <v>137</v>
      </c>
      <c r="R49" s="96" t="s">
        <v>138</v>
      </c>
      <c r="S49" s="58">
        <f t="shared" si="30"/>
        <v>0.97297954821294785</v>
      </c>
      <c r="T49" s="65">
        <f t="shared" si="27"/>
        <v>-0.633501347933067</v>
      </c>
      <c r="U49" s="64">
        <f t="shared" si="16"/>
        <v>0.26151151437029208</v>
      </c>
      <c r="V49" s="57" t="s">
        <v>139</v>
      </c>
      <c r="W49" s="61" t="s">
        <v>140</v>
      </c>
      <c r="X49" s="65">
        <f t="shared" si="17"/>
        <v>0.64728371196670476</v>
      </c>
      <c r="Y49" s="63">
        <f t="shared" si="31"/>
        <v>0.10312378408670841</v>
      </c>
      <c r="Z49" s="64">
        <f t="shared" si="19"/>
        <v>0.36098381168155536</v>
      </c>
    </row>
    <row r="50" spans="1:26" ht="16.5" thickBot="1" x14ac:dyDescent="0.3">
      <c r="A50" s="19" t="s">
        <v>235</v>
      </c>
      <c r="B50" s="21">
        <f t="shared" si="20"/>
        <v>22</v>
      </c>
      <c r="C50" s="21">
        <f t="shared" si="21"/>
        <v>3</v>
      </c>
      <c r="D50" s="21">
        <f t="shared" si="32"/>
        <v>80</v>
      </c>
      <c r="E50" s="26">
        <f t="shared" si="22"/>
        <v>0.21749956845273574</v>
      </c>
      <c r="F50" s="24">
        <f t="shared" si="23"/>
        <v>88.70879421750081</v>
      </c>
      <c r="G50" s="46">
        <f t="shared" si="24"/>
        <v>90.573531737664482</v>
      </c>
      <c r="H50" s="45">
        <f t="shared" si="25"/>
        <v>0.98990327308504411</v>
      </c>
      <c r="I50" s="48">
        <f t="shared" si="26"/>
        <v>-7.2696433787682402</v>
      </c>
      <c r="J50" s="2"/>
      <c r="K50" s="41">
        <f t="shared" si="29"/>
        <v>4.7579704658204255E-2</v>
      </c>
      <c r="L50" s="34">
        <f t="shared" si="15"/>
        <v>1.2289595187444085E-2</v>
      </c>
      <c r="M50" s="75">
        <v>0.52300000000000002</v>
      </c>
      <c r="N50" s="2"/>
      <c r="O50" s="56">
        <v>43243</v>
      </c>
      <c r="P50" s="61" t="s">
        <v>141</v>
      </c>
      <c r="Q50" s="95" t="s">
        <v>142</v>
      </c>
      <c r="R50" s="96" t="s">
        <v>143</v>
      </c>
      <c r="S50" s="58">
        <f t="shared" si="30"/>
        <v>1.0975809046307732</v>
      </c>
      <c r="T50" s="65">
        <f t="shared" si="27"/>
        <v>-0.68621721330996222</v>
      </c>
      <c r="U50" s="64">
        <f t="shared" si="16"/>
        <v>0.14338469639679197</v>
      </c>
      <c r="V50" s="57" t="s">
        <v>144</v>
      </c>
      <c r="W50" s="61" t="s">
        <v>145</v>
      </c>
      <c r="X50" s="65">
        <f t="shared" si="17"/>
        <v>0.72699766960781242</v>
      </c>
      <c r="Y50" s="63">
        <f t="shared" si="31"/>
        <v>0.10800428623466615</v>
      </c>
      <c r="Z50" s="64">
        <f t="shared" si="19"/>
        <v>0.28106976293236186</v>
      </c>
    </row>
    <row r="51" spans="1:26" ht="16.5" thickBot="1" x14ac:dyDescent="0.3">
      <c r="A51" s="19" t="s">
        <v>236</v>
      </c>
      <c r="B51" s="21">
        <f t="shared" si="20"/>
        <v>24</v>
      </c>
      <c r="C51" s="21">
        <f t="shared" si="21"/>
        <v>3</v>
      </c>
      <c r="D51" s="21">
        <f t="shared" si="32"/>
        <v>82</v>
      </c>
      <c r="E51" s="26">
        <f t="shared" si="22"/>
        <v>1.0068182850899616</v>
      </c>
      <c r="F51" s="24">
        <f t="shared" si="23"/>
        <v>90.68010075566751</v>
      </c>
      <c r="G51" s="46">
        <f t="shared" si="24"/>
        <v>92.558684198089026</v>
      </c>
      <c r="H51" s="45">
        <f t="shared" si="25"/>
        <v>0.99073510882237958</v>
      </c>
      <c r="I51" s="48">
        <f t="shared" si="26"/>
        <v>-6.6707216478866993</v>
      </c>
      <c r="J51" s="2"/>
      <c r="K51" s="41">
        <f t="shared" si="29"/>
        <v>4.3659771095582556E-2</v>
      </c>
      <c r="L51" s="34">
        <f t="shared" si="15"/>
        <v>3.0834263434641827E-2</v>
      </c>
      <c r="M51" s="75">
        <v>1.3120000000000001</v>
      </c>
      <c r="N51" s="2"/>
      <c r="O51" s="56">
        <v>43257</v>
      </c>
      <c r="P51" s="61" t="s">
        <v>146</v>
      </c>
      <c r="Q51" s="95" t="s">
        <v>147</v>
      </c>
      <c r="R51" s="96" t="s">
        <v>148</v>
      </c>
      <c r="S51" s="58">
        <f t="shared" si="30"/>
        <v>1.2055110317572593</v>
      </c>
      <c r="T51" s="65">
        <f t="shared" si="27"/>
        <v>-0.7398940176761537</v>
      </c>
      <c r="U51" s="64">
        <f t="shared" si="16"/>
        <v>4.8257550439463115E-2</v>
      </c>
      <c r="V51" s="57" t="s">
        <v>149</v>
      </c>
      <c r="W51" s="61" t="s">
        <v>150</v>
      </c>
      <c r="X51" s="65">
        <f t="shared" si="17"/>
        <v>0.78369206892352072</v>
      </c>
      <c r="Y51" s="63">
        <f t="shared" si="31"/>
        <v>0.1050663778354004</v>
      </c>
      <c r="Z51" s="64">
        <f t="shared" si="19"/>
        <v>0.22338277437197074</v>
      </c>
    </row>
    <row r="52" spans="1:26" ht="16.5" thickBot="1" x14ac:dyDescent="0.3">
      <c r="A52" s="19" t="s">
        <v>15</v>
      </c>
      <c r="B52" s="21">
        <f t="shared" si="20"/>
        <v>1</v>
      </c>
      <c r="C52" s="21">
        <f t="shared" si="21"/>
        <v>4</v>
      </c>
      <c r="D52" s="21">
        <f t="shared" si="32"/>
        <v>90</v>
      </c>
      <c r="E52" s="26">
        <f t="shared" si="22"/>
        <v>4.1372840268278104</v>
      </c>
      <c r="F52" s="24">
        <f t="shared" si="23"/>
        <v>98.565326908334242</v>
      </c>
      <c r="G52" s="46">
        <f t="shared" si="24"/>
        <v>100.4769340319087</v>
      </c>
      <c r="H52" s="45">
        <f t="shared" si="25"/>
        <v>0.994089370389863</v>
      </c>
      <c r="I52" s="48">
        <f t="shared" si="26"/>
        <v>-4.2556533192986379</v>
      </c>
      <c r="J52" s="2"/>
      <c r="K52" s="41">
        <f t="shared" si="29"/>
        <v>2.7853185845581913E-2</v>
      </c>
      <c r="L52" s="34">
        <f t="shared" si="15"/>
        <v>0.10442056449405286</v>
      </c>
      <c r="M52" s="74">
        <v>4.4349999999999996</v>
      </c>
      <c r="N52" s="2"/>
      <c r="O52" s="56">
        <v>43271</v>
      </c>
      <c r="P52" s="61" t="s">
        <v>151</v>
      </c>
      <c r="Q52" s="95" t="s">
        <v>152</v>
      </c>
      <c r="R52" s="96" t="s">
        <v>153</v>
      </c>
      <c r="S52" s="58">
        <f t="shared" si="30"/>
        <v>1.2684574898656245</v>
      </c>
      <c r="T52" s="65">
        <f t="shared" si="27"/>
        <v>-0.78095843896787198</v>
      </c>
      <c r="U52" s="64">
        <f t="shared" si="16"/>
        <v>4.5594384186076198E-4</v>
      </c>
      <c r="V52" s="57" t="s">
        <v>154</v>
      </c>
      <c r="W52" s="61" t="s">
        <v>155</v>
      </c>
      <c r="X52" s="65">
        <f t="shared" si="17"/>
        <v>0.80467539338715632</v>
      </c>
      <c r="Y52" s="63">
        <f t="shared" si="31"/>
        <v>9.552148518913027E-2</v>
      </c>
      <c r="Z52" s="64">
        <f t="shared" si="19"/>
        <v>0.20101430889531102</v>
      </c>
    </row>
    <row r="53" spans="1:26" ht="16.5" thickBot="1" x14ac:dyDescent="0.3">
      <c r="A53" s="19" t="s">
        <v>237</v>
      </c>
      <c r="B53" s="21">
        <f t="shared" si="20"/>
        <v>8</v>
      </c>
      <c r="C53" s="21">
        <f t="shared" si="21"/>
        <v>4</v>
      </c>
      <c r="D53" s="21">
        <f t="shared" si="32"/>
        <v>97</v>
      </c>
      <c r="E53" s="26">
        <f t="shared" si="22"/>
        <v>6.8120436543847802</v>
      </c>
      <c r="F53" s="24">
        <f t="shared" si="23"/>
        <v>105.46489979191765</v>
      </c>
      <c r="G53" s="46">
        <f t="shared" si="24"/>
        <v>107.37575374271599</v>
      </c>
      <c r="H53" s="45">
        <f t="shared" si="25"/>
        <v>0.99692481767503949</v>
      </c>
      <c r="I53" s="48">
        <f t="shared" si="26"/>
        <v>-2.2141312739715691</v>
      </c>
      <c r="J53" s="2"/>
      <c r="K53" s="41">
        <f t="shared" si="29"/>
        <v>1.4491455302709882E-2</v>
      </c>
      <c r="L53" s="34">
        <f t="shared" si="15"/>
        <v>0.16769231078419336</v>
      </c>
      <c r="M53" s="75">
        <v>7.1</v>
      </c>
      <c r="N53" s="2"/>
      <c r="O53" s="56">
        <v>43285</v>
      </c>
      <c r="P53" s="61" t="s">
        <v>156</v>
      </c>
      <c r="Q53" s="95" t="s">
        <v>157</v>
      </c>
      <c r="R53" s="96" t="s">
        <v>158</v>
      </c>
      <c r="S53" s="58">
        <f t="shared" si="30"/>
        <v>1.2617103269220808</v>
      </c>
      <c r="T53" s="65">
        <f t="shared" si="27"/>
        <v>-0.7927413231766689</v>
      </c>
      <c r="U53" s="64">
        <f t="shared" si="16"/>
        <v>1.8432812493241357E-2</v>
      </c>
      <c r="V53" s="57" t="s">
        <v>159</v>
      </c>
      <c r="W53" s="61" t="s">
        <v>160</v>
      </c>
      <c r="X53" s="65">
        <f t="shared" si="17"/>
        <v>0.78494215639802523</v>
      </c>
      <c r="Y53" s="63">
        <f t="shared" si="31"/>
        <v>8.3664104593955485E-2</v>
      </c>
      <c r="Z53" s="64">
        <f t="shared" si="19"/>
        <v>0.21952930452625341</v>
      </c>
    </row>
    <row r="54" spans="1:26" ht="16.5" thickBot="1" x14ac:dyDescent="0.3">
      <c r="A54" s="19" t="s">
        <v>16</v>
      </c>
      <c r="B54" s="21">
        <f t="shared" si="20"/>
        <v>15</v>
      </c>
      <c r="C54" s="21">
        <f t="shared" si="21"/>
        <v>4</v>
      </c>
      <c r="D54" s="21">
        <f t="shared" si="32"/>
        <v>104</v>
      </c>
      <c r="E54" s="26">
        <f t="shared" si="22"/>
        <v>9.3920240371669248</v>
      </c>
      <c r="F54" s="24">
        <f t="shared" si="23"/>
        <v>112.36447267550103</v>
      </c>
      <c r="G54" s="46">
        <f t="shared" si="24"/>
        <v>114.24689755244309</v>
      </c>
      <c r="H54" s="45">
        <f t="shared" si="25"/>
        <v>0.99951342455986936</v>
      </c>
      <c r="I54" s="48">
        <f t="shared" si="26"/>
        <v>-0.35033431689406314</v>
      </c>
      <c r="J54" s="2"/>
      <c r="K54" s="41">
        <f t="shared" si="29"/>
        <v>2.2929327424968684E-3</v>
      </c>
      <c r="L54" s="34">
        <f t="shared" si="15"/>
        <v>0.22935589808724774</v>
      </c>
      <c r="M54" s="75">
        <v>9.6679999999999993</v>
      </c>
      <c r="N54" s="2"/>
      <c r="O54" s="56">
        <v>43299</v>
      </c>
      <c r="P54" s="61" t="s">
        <v>161</v>
      </c>
      <c r="Q54" s="95" t="s">
        <v>162</v>
      </c>
      <c r="R54" s="96" t="s">
        <v>163</v>
      </c>
      <c r="S54" s="58">
        <f t="shared" si="30"/>
        <v>1.1836067302791009</v>
      </c>
      <c r="T54" s="65">
        <f t="shared" si="27"/>
        <v>-0.76788293869414659</v>
      </c>
      <c r="U54" s="64">
        <f t="shared" si="16"/>
        <v>9.9288789664286559E-2</v>
      </c>
      <c r="V54" s="57" t="s">
        <v>164</v>
      </c>
      <c r="W54" s="61" t="s">
        <v>165</v>
      </c>
      <c r="X54" s="65">
        <f t="shared" si="17"/>
        <v>0.73031471938494741</v>
      </c>
      <c r="Y54" s="63">
        <f t="shared" si="31"/>
        <v>7.401675047425732E-2</v>
      </c>
      <c r="Z54" s="64">
        <f t="shared" si="19"/>
        <v>0.2734457281114191</v>
      </c>
    </row>
    <row r="55" spans="1:26" ht="16.5" thickBot="1" x14ac:dyDescent="0.3">
      <c r="A55" s="19" t="s">
        <v>238</v>
      </c>
      <c r="B55" s="21">
        <f t="shared" si="20"/>
        <v>22</v>
      </c>
      <c r="C55" s="21">
        <f t="shared" si="21"/>
        <v>4</v>
      </c>
      <c r="D55" s="21">
        <f t="shared" si="32"/>
        <v>111</v>
      </c>
      <c r="E55" s="26">
        <f t="shared" si="22"/>
        <v>11.844740417192966</v>
      </c>
      <c r="F55" s="24">
        <f t="shared" si="23"/>
        <v>119.26404555908444</v>
      </c>
      <c r="G55" s="46">
        <f t="shared" si="24"/>
        <v>121.09077721429364</v>
      </c>
      <c r="H55" s="45">
        <f t="shared" si="25"/>
        <v>1.0017234001318844</v>
      </c>
      <c r="I55" s="48">
        <f t="shared" si="26"/>
        <v>1.2408480949567924</v>
      </c>
      <c r="J55" s="2"/>
      <c r="K55" s="41">
        <f t="shared" si="29"/>
        <v>-8.1213317913461525E-3</v>
      </c>
      <c r="L55" s="34">
        <f t="shared" si="15"/>
        <v>0.28874766734967139</v>
      </c>
      <c r="M55" s="75">
        <v>12.105</v>
      </c>
      <c r="N55" s="2"/>
      <c r="O55" s="56">
        <v>43313</v>
      </c>
      <c r="P55" s="61" t="s">
        <v>166</v>
      </c>
      <c r="Q55" s="95" t="s">
        <v>167</v>
      </c>
      <c r="R55" s="96" t="s">
        <v>168</v>
      </c>
      <c r="S55" s="58">
        <f t="shared" si="30"/>
        <v>1.0558917176193803</v>
      </c>
      <c r="T55" s="65">
        <f t="shared" si="27"/>
        <v>-0.71174744950141622</v>
      </c>
      <c r="U55" s="64">
        <f t="shared" si="16"/>
        <v>0.2200494326783049</v>
      </c>
      <c r="V55" s="57" t="s">
        <v>169</v>
      </c>
      <c r="W55" s="61" t="s">
        <v>170</v>
      </c>
      <c r="X55" s="65">
        <f t="shared" si="17"/>
        <v>0.65381872976287858</v>
      </c>
      <c r="Y55" s="63">
        <f t="shared" si="31"/>
        <v>6.983628906966742E-2</v>
      </c>
      <c r="Z55" s="64">
        <f t="shared" si="19"/>
        <v>0.34992167847426114</v>
      </c>
    </row>
    <row r="56" spans="1:26" ht="16.5" thickBot="1" x14ac:dyDescent="0.3">
      <c r="A56" s="19" t="s">
        <v>17</v>
      </c>
      <c r="B56" s="21">
        <f t="shared" si="20"/>
        <v>1</v>
      </c>
      <c r="C56" s="21">
        <f t="shared" si="21"/>
        <v>5</v>
      </c>
      <c r="D56" s="21">
        <f t="shared" si="32"/>
        <v>120</v>
      </c>
      <c r="E56" s="26">
        <f t="shared" si="22"/>
        <v>14.759999028667998</v>
      </c>
      <c r="F56" s="24">
        <f t="shared" si="23"/>
        <v>128.13492498083451</v>
      </c>
      <c r="G56" s="46">
        <f t="shared" si="24"/>
        <v>129.85133190734572</v>
      </c>
      <c r="H56" s="45">
        <f t="shared" si="25"/>
        <v>1.0038321610543715</v>
      </c>
      <c r="I56" s="48">
        <f t="shared" si="26"/>
        <v>2.7591559591474457</v>
      </c>
      <c r="J56" s="2"/>
      <c r="K56" s="41">
        <f t="shared" si="29"/>
        <v>-1.8058633526037374E-2</v>
      </c>
      <c r="L56" s="34">
        <f t="shared" si="15"/>
        <v>0.36056754272267655</v>
      </c>
      <c r="M56" s="74">
        <v>14.993</v>
      </c>
      <c r="N56" s="2"/>
      <c r="O56" s="56">
        <v>43327</v>
      </c>
      <c r="P56" s="61" t="s">
        <v>171</v>
      </c>
      <c r="Q56" s="95" t="s">
        <v>172</v>
      </c>
      <c r="R56" s="96" t="s">
        <v>173</v>
      </c>
      <c r="S56" s="58">
        <f t="shared" si="30"/>
        <v>0.90968006699421566</v>
      </c>
      <c r="T56" s="65">
        <f t="shared" si="27"/>
        <v>-0.63897579303009555</v>
      </c>
      <c r="U56" s="64">
        <f t="shared" si="16"/>
        <v>0.35252200021301017</v>
      </c>
      <c r="V56" s="57" t="s">
        <v>174</v>
      </c>
      <c r="W56" s="61" t="s">
        <v>175</v>
      </c>
      <c r="X56" s="65">
        <f t="shared" si="17"/>
        <v>0.56878601312855748</v>
      </c>
      <c r="Y56" s="63">
        <f t="shared" si="31"/>
        <v>7.1409151764783352E-2</v>
      </c>
      <c r="Z56" s="64">
        <f t="shared" si="19"/>
        <v>0.43571437925912582</v>
      </c>
    </row>
    <row r="57" spans="1:26" ht="16.5" thickBot="1" x14ac:dyDescent="0.3">
      <c r="A57" s="19" t="s">
        <v>239</v>
      </c>
      <c r="B57" s="21">
        <f t="shared" si="20"/>
        <v>10</v>
      </c>
      <c r="C57" s="21">
        <f t="shared" si="21"/>
        <v>5</v>
      </c>
      <c r="D57" s="21">
        <f t="shared" si="32"/>
        <v>129</v>
      </c>
      <c r="E57" s="26">
        <f t="shared" si="22"/>
        <v>17.346425643108528</v>
      </c>
      <c r="F57" s="24">
        <f t="shared" si="23"/>
        <v>137.0058044025846</v>
      </c>
      <c r="G57" s="46">
        <f t="shared" si="24"/>
        <v>138.57082455022754</v>
      </c>
      <c r="H57" s="45">
        <f t="shared" si="25"/>
        <v>1.004963063986283</v>
      </c>
      <c r="I57" s="48">
        <f t="shared" si="26"/>
        <v>3.5734060701237524</v>
      </c>
      <c r="J57" s="2"/>
      <c r="K57" s="41">
        <f t="shared" si="29"/>
        <v>-2.3387888040957896E-2</v>
      </c>
      <c r="L57" s="34">
        <f t="shared" si="15"/>
        <v>0.42573160889065231</v>
      </c>
      <c r="M57" s="75">
        <v>17.547999999999998</v>
      </c>
      <c r="N57" s="2"/>
      <c r="O57" s="56">
        <v>43341</v>
      </c>
      <c r="P57" s="61" t="s">
        <v>176</v>
      </c>
      <c r="Q57" s="95" t="s">
        <v>177</v>
      </c>
      <c r="R57" s="96" t="s">
        <v>178</v>
      </c>
      <c r="S57" s="58">
        <f t="shared" si="30"/>
        <v>0.76832963124408626</v>
      </c>
      <c r="T57" s="65">
        <f t="shared" si="27"/>
        <v>-0.56308026109099096</v>
      </c>
      <c r="U57" s="64">
        <f t="shared" si="16"/>
        <v>0.47724667211257754</v>
      </c>
      <c r="V57" s="57" t="s">
        <v>179</v>
      </c>
      <c r="W57" s="61" t="s">
        <v>180</v>
      </c>
      <c r="X57" s="65">
        <f t="shared" si="17"/>
        <v>0.48491735904840005</v>
      </c>
      <c r="Y57" s="63">
        <f t="shared" si="31"/>
        <v>7.741378087259973E-2</v>
      </c>
      <c r="Z57" s="64">
        <f t="shared" si="19"/>
        <v>0.52130181571528378</v>
      </c>
    </row>
    <row r="58" spans="1:26" ht="16.5" thickBot="1" x14ac:dyDescent="0.3">
      <c r="A58" s="19" t="s">
        <v>240</v>
      </c>
      <c r="B58" s="21">
        <f t="shared" si="20"/>
        <v>20</v>
      </c>
      <c r="C58" s="21">
        <f t="shared" si="21"/>
        <v>5</v>
      </c>
      <c r="D58" s="21">
        <f t="shared" si="32"/>
        <v>139</v>
      </c>
      <c r="E58" s="26">
        <f t="shared" si="22"/>
        <v>19.758903113526515</v>
      </c>
      <c r="F58" s="24">
        <f t="shared" si="23"/>
        <v>146.86233709341803</v>
      </c>
      <c r="G58" s="46">
        <f t="shared" si="24"/>
        <v>148.21542633906785</v>
      </c>
      <c r="H58" s="45">
        <f t="shared" si="25"/>
        <v>1.00498321984577</v>
      </c>
      <c r="I58" s="48">
        <f t="shared" si="26"/>
        <v>3.5879182889543948</v>
      </c>
      <c r="J58" s="2"/>
      <c r="K58" s="41">
        <f t="shared" si="29"/>
        <v>-2.3482870291107034E-2</v>
      </c>
      <c r="L58" s="34">
        <f t="shared" si="15"/>
        <v>0.48789057550558856</v>
      </c>
      <c r="M58" s="75">
        <v>19.920000000000002</v>
      </c>
      <c r="N58" s="2"/>
      <c r="O58" s="56">
        <v>43355</v>
      </c>
      <c r="P58" s="61" t="s">
        <v>181</v>
      </c>
      <c r="Q58" s="95" t="s">
        <v>182</v>
      </c>
      <c r="R58" s="96" t="s">
        <v>183</v>
      </c>
      <c r="S58" s="58">
        <f t="shared" si="30"/>
        <v>0.64408882856982108</v>
      </c>
      <c r="T58" s="65">
        <f t="shared" si="27"/>
        <v>-0.49327281156298042</v>
      </c>
      <c r="U58" s="64">
        <f t="shared" si="16"/>
        <v>0.58583535585325874</v>
      </c>
      <c r="V58" s="57" t="s">
        <v>184</v>
      </c>
      <c r="W58" s="61" t="s">
        <v>185</v>
      </c>
      <c r="X58" s="65">
        <f t="shared" si="17"/>
        <v>0.40747239676219699</v>
      </c>
      <c r="Y58" s="63">
        <f t="shared" si="31"/>
        <v>8.5405359613205209E-2</v>
      </c>
      <c r="Z58" s="64">
        <f t="shared" si="19"/>
        <v>0.60157851630155745</v>
      </c>
    </row>
    <row r="59" spans="1:26" ht="16.5" thickBot="1" x14ac:dyDescent="0.3">
      <c r="A59" s="19" t="s">
        <v>18</v>
      </c>
      <c r="B59" s="21">
        <f t="shared" si="20"/>
        <v>1</v>
      </c>
      <c r="C59" s="21">
        <f t="shared" si="21"/>
        <v>6</v>
      </c>
      <c r="D59" s="21">
        <f t="shared" si="32"/>
        <v>151</v>
      </c>
      <c r="E59" s="26">
        <f t="shared" si="22"/>
        <v>21.909030774727931</v>
      </c>
      <c r="F59" s="24">
        <f t="shared" si="23"/>
        <v>158.69017632241813</v>
      </c>
      <c r="G59" s="46">
        <f t="shared" si="24"/>
        <v>159.73685754670979</v>
      </c>
      <c r="H59" s="45">
        <f t="shared" si="25"/>
        <v>1.0033852654123172</v>
      </c>
      <c r="I59" s="48">
        <f t="shared" si="26"/>
        <v>2.4373910968683887</v>
      </c>
      <c r="J59" s="2"/>
      <c r="K59" s="41">
        <f t="shared" si="29"/>
        <v>-1.5952687426764027E-2</v>
      </c>
      <c r="L59" s="34">
        <f t="shared" si="15"/>
        <v>0.54430165123825081</v>
      </c>
      <c r="M59" s="74">
        <v>22.013000000000002</v>
      </c>
      <c r="N59" s="2"/>
      <c r="O59" s="56">
        <v>43369</v>
      </c>
      <c r="P59" s="61" t="s">
        <v>186</v>
      </c>
      <c r="Q59" s="95" t="s">
        <v>187</v>
      </c>
      <c r="R59" s="96" t="s">
        <v>188</v>
      </c>
      <c r="S59" s="58">
        <f t="shared" si="30"/>
        <v>0.54090246443245715</v>
      </c>
      <c r="T59" s="65">
        <f t="shared" si="27"/>
        <v>-0.4339312912865162</v>
      </c>
      <c r="U59" s="64">
        <f t="shared" si="16"/>
        <v>0.67707723760700578</v>
      </c>
      <c r="V59" s="57" t="s">
        <v>189</v>
      </c>
      <c r="W59" s="61" t="s">
        <v>190</v>
      </c>
      <c r="X59" s="65">
        <f t="shared" si="17"/>
        <v>0.33874792805460774</v>
      </c>
      <c r="Y59" s="63">
        <f t="shared" si="31"/>
        <v>9.307702433917607E-2</v>
      </c>
      <c r="Z59" s="64">
        <f t="shared" si="19"/>
        <v>0.67429027294006993</v>
      </c>
    </row>
    <row r="60" spans="1:26" ht="16.5" thickBot="1" x14ac:dyDescent="0.3">
      <c r="A60" s="19" t="s">
        <v>241</v>
      </c>
      <c r="B60" s="21">
        <f t="shared" si="20"/>
        <v>8</v>
      </c>
      <c r="C60" s="21">
        <f t="shared" si="21"/>
        <v>6</v>
      </c>
      <c r="D60" s="21">
        <f t="shared" si="32"/>
        <v>158</v>
      </c>
      <c r="E60" s="26">
        <f t="shared" si="22"/>
        <v>22.747717869074684</v>
      </c>
      <c r="F60" s="24">
        <f t="shared" si="23"/>
        <v>165.58974920600153</v>
      </c>
      <c r="G60" s="46">
        <f t="shared" si="24"/>
        <v>166.43624696198879</v>
      </c>
      <c r="H60" s="45">
        <f t="shared" si="25"/>
        <v>1.0017915591623947</v>
      </c>
      <c r="I60" s="48">
        <f t="shared" si="26"/>
        <v>1.289922596924189</v>
      </c>
      <c r="J60" s="2"/>
      <c r="K60" s="41">
        <f t="shared" si="29"/>
        <v>-8.4425236556784061E-3</v>
      </c>
      <c r="L60" s="34">
        <f t="shared" si="15"/>
        <v>0.56640852445079726</v>
      </c>
      <c r="M60" s="75">
        <v>22.817</v>
      </c>
      <c r="N60" s="2"/>
      <c r="O60" s="56">
        <v>43383</v>
      </c>
      <c r="P60" s="61" t="s">
        <v>191</v>
      </c>
      <c r="Q60" s="95" t="s">
        <v>192</v>
      </c>
      <c r="R60" s="96" t="s">
        <v>193</v>
      </c>
      <c r="S60" s="58">
        <f t="shared" si="30"/>
        <v>0.45915146952608654</v>
      </c>
      <c r="T60" s="65">
        <f t="shared" si="27"/>
        <v>-0.38693888051168934</v>
      </c>
      <c r="U60" s="64">
        <f t="shared" si="16"/>
        <v>0.75281914573267339</v>
      </c>
      <c r="V60" s="57" t="s">
        <v>194</v>
      </c>
      <c r="W60" s="61" t="s">
        <v>195</v>
      </c>
      <c r="X60" s="65">
        <f t="shared" si="17"/>
        <v>0.27926121177103186</v>
      </c>
      <c r="Y60" s="63">
        <f t="shared" si="31"/>
        <v>9.8275509529605232E-2</v>
      </c>
      <c r="Z60" s="64">
        <f t="shared" si="19"/>
        <v>0.73860231709802482</v>
      </c>
    </row>
    <row r="61" spans="1:26" ht="16.5" thickBot="1" x14ac:dyDescent="0.3">
      <c r="A61" s="19" t="s">
        <v>19</v>
      </c>
      <c r="B61" s="21">
        <f t="shared" si="20"/>
        <v>15</v>
      </c>
      <c r="C61" s="21">
        <f t="shared" si="21"/>
        <v>6</v>
      </c>
      <c r="D61" s="21">
        <f t="shared" si="32"/>
        <v>165</v>
      </c>
      <c r="E61" s="26">
        <f t="shared" si="22"/>
        <v>23.260944797355151</v>
      </c>
      <c r="F61" s="24">
        <f t="shared" si="23"/>
        <v>172.48932208958493</v>
      </c>
      <c r="G61" s="46">
        <f t="shared" si="24"/>
        <v>173.1233761058067</v>
      </c>
      <c r="H61" s="45">
        <f t="shared" si="25"/>
        <v>0.99987628848819243</v>
      </c>
      <c r="I61" s="48">
        <f t="shared" si="26"/>
        <v>-8.9072288501448327E-2</v>
      </c>
      <c r="J61" s="2"/>
      <c r="K61" s="41">
        <f t="shared" si="29"/>
        <v>5.8297676506483074E-4</v>
      </c>
      <c r="L61" s="34">
        <f t="shared" si="15"/>
        <v>0.57961956004239878</v>
      </c>
      <c r="M61" s="75">
        <v>23.292999999999999</v>
      </c>
      <c r="N61" s="2"/>
      <c r="O61" s="56">
        <v>43397</v>
      </c>
      <c r="P61" s="61" t="s">
        <v>196</v>
      </c>
      <c r="Q61" s="95" t="s">
        <v>197</v>
      </c>
      <c r="R61" s="96" t="s">
        <v>198</v>
      </c>
      <c r="S61" s="58">
        <f t="shared" si="30"/>
        <v>0.39816530137531364</v>
      </c>
      <c r="T61" s="65">
        <f t="shared" si="27"/>
        <v>-0.35276075430216169</v>
      </c>
      <c r="U61" s="64">
        <f t="shared" si="16"/>
        <v>0.81535044694485648</v>
      </c>
      <c r="V61" s="57" t="s">
        <v>199</v>
      </c>
      <c r="W61" s="61" t="s">
        <v>200</v>
      </c>
      <c r="X61" s="65">
        <f t="shared" si="17"/>
        <v>0.2288518238899466</v>
      </c>
      <c r="Y61" s="63">
        <f t="shared" si="31"/>
        <v>9.9492559592518875E-2</v>
      </c>
      <c r="Z61" s="64">
        <f t="shared" si="19"/>
        <v>0.79390684658755839</v>
      </c>
    </row>
    <row r="62" spans="1:26" ht="16.5" thickBot="1" x14ac:dyDescent="0.3">
      <c r="A62" s="19" t="s">
        <v>242</v>
      </c>
      <c r="B62" s="21">
        <f t="shared" si="20"/>
        <v>20</v>
      </c>
      <c r="C62" s="21">
        <f t="shared" si="21"/>
        <v>6</v>
      </c>
      <c r="D62" s="21">
        <f t="shared" si="32"/>
        <v>170</v>
      </c>
      <c r="E62" s="26">
        <f t="shared" si="22"/>
        <v>23.423114172881974</v>
      </c>
      <c r="F62" s="24">
        <f t="shared" si="23"/>
        <v>177.41758843500162</v>
      </c>
      <c r="G62" s="46">
        <f t="shared" si="24"/>
        <v>177.89408932879019</v>
      </c>
      <c r="H62" s="45">
        <f t="shared" si="25"/>
        <v>0.99840401036775717</v>
      </c>
      <c r="I62" s="48">
        <f t="shared" si="26"/>
        <v>-1.1491125352148401</v>
      </c>
      <c r="J62" s="2"/>
      <c r="K62" s="41">
        <f t="shared" si="29"/>
        <v>7.520923956771371E-3</v>
      </c>
      <c r="L62" s="34">
        <f t="shared" si="15"/>
        <v>0.58338352751023603</v>
      </c>
      <c r="M62" s="75">
        <v>23.428000000000001</v>
      </c>
      <c r="N62" s="2"/>
      <c r="O62" s="56">
        <v>43411</v>
      </c>
      <c r="P62" s="61" t="s">
        <v>201</v>
      </c>
      <c r="Q62" s="95" t="s">
        <v>202</v>
      </c>
      <c r="R62" s="96" t="s">
        <v>203</v>
      </c>
      <c r="S62" s="58">
        <f t="shared" si="30"/>
        <v>0.35736969144132363</v>
      </c>
      <c r="T62" s="65">
        <f t="shared" si="27"/>
        <v>-0.3314023745425691</v>
      </c>
      <c r="U62" s="64">
        <f t="shared" si="16"/>
        <v>0.86626308472073399</v>
      </c>
      <c r="V62" s="57" t="s">
        <v>204</v>
      </c>
      <c r="W62" s="61" t="s">
        <v>205</v>
      </c>
      <c r="X62" s="65">
        <f t="shared" si="17"/>
        <v>0.18707930792932273</v>
      </c>
      <c r="Y62" s="63">
        <f t="shared" si="31"/>
        <v>9.586380770415702E-2</v>
      </c>
      <c r="Z62" s="64">
        <f t="shared" si="19"/>
        <v>0.83934883185057518</v>
      </c>
    </row>
    <row r="63" spans="1:26" ht="16.5" thickBot="1" x14ac:dyDescent="0.3">
      <c r="A63" s="19" t="s">
        <v>243</v>
      </c>
      <c r="B63" s="21">
        <f t="shared" si="20"/>
        <v>22</v>
      </c>
      <c r="C63" s="21">
        <f t="shared" si="21"/>
        <v>6</v>
      </c>
      <c r="D63" s="21">
        <f t="shared" si="32"/>
        <v>172</v>
      </c>
      <c r="E63" s="26">
        <f t="shared" si="22"/>
        <v>23.439841622369297</v>
      </c>
      <c r="F63" s="24">
        <f t="shared" si="23"/>
        <v>179.38889497316833</v>
      </c>
      <c r="G63" s="46">
        <f t="shared" si="24"/>
        <v>179.80132191239201</v>
      </c>
      <c r="H63" s="45">
        <f t="shared" si="25"/>
        <v>0.99780801696927846</v>
      </c>
      <c r="I63" s="48">
        <f t="shared" si="26"/>
        <v>-1.5782277821195123</v>
      </c>
      <c r="J63" s="2"/>
      <c r="K63" s="41">
        <f t="shared" si="29"/>
        <v>1.0329476680511193E-2</v>
      </c>
      <c r="L63" s="34">
        <f t="shared" si="15"/>
        <v>0.58352308106370288</v>
      </c>
      <c r="M63" s="75">
        <v>23.433</v>
      </c>
      <c r="N63" s="2"/>
      <c r="O63" s="56">
        <v>43425</v>
      </c>
      <c r="P63" s="61" t="s">
        <v>206</v>
      </c>
      <c r="Q63" s="95" t="s">
        <v>207</v>
      </c>
      <c r="R63" s="96" t="s">
        <v>208</v>
      </c>
      <c r="S63" s="58">
        <f t="shared" si="30"/>
        <v>0.33593966533106318</v>
      </c>
      <c r="T63" s="65">
        <f t="shared" si="27"/>
        <v>-0.32254088163334521</v>
      </c>
      <c r="U63" s="64">
        <f t="shared" si="16"/>
        <v>0.90607003450479118</v>
      </c>
      <c r="V63" s="57" t="s">
        <v>209</v>
      </c>
      <c r="W63" s="61" t="s">
        <v>210</v>
      </c>
      <c r="X63" s="65">
        <f t="shared" si="17"/>
        <v>0.15357324847616916</v>
      </c>
      <c r="Y63" s="63">
        <f t="shared" si="31"/>
        <v>8.741703886576381E-2</v>
      </c>
      <c r="Z63" s="64">
        <f t="shared" si="19"/>
        <v>0.87373439120859264</v>
      </c>
    </row>
    <row r="64" spans="1:26" ht="16.5" thickBot="1" x14ac:dyDescent="0.3">
      <c r="A64" s="19" t="s">
        <v>244</v>
      </c>
      <c r="B64" s="21">
        <f t="shared" si="20"/>
        <v>24</v>
      </c>
      <c r="C64" s="21">
        <f t="shared" si="21"/>
        <v>6</v>
      </c>
      <c r="D64" s="21">
        <f t="shared" si="32"/>
        <v>174</v>
      </c>
      <c r="E64" s="26">
        <f t="shared" si="22"/>
        <v>23.429027079900923</v>
      </c>
      <c r="F64" s="24">
        <f t="shared" si="23"/>
        <v>181.36020151133502</v>
      </c>
      <c r="G64" s="46">
        <f t="shared" si="24"/>
        <v>181.70806633031441</v>
      </c>
      <c r="H64" s="45">
        <f t="shared" si="25"/>
        <v>0.99721447816547748</v>
      </c>
      <c r="I64" s="48">
        <f t="shared" si="26"/>
        <v>-2.0055757208562142</v>
      </c>
      <c r="J64" s="2"/>
      <c r="K64" s="41">
        <f t="shared" si="29"/>
        <v>1.3126462399338828E-2</v>
      </c>
      <c r="L64" s="34">
        <f t="shared" si="15"/>
        <v>0.58293702704441985</v>
      </c>
      <c r="M64" s="75">
        <v>23.411999999999999</v>
      </c>
      <c r="N64" s="2"/>
      <c r="O64" s="56">
        <v>43439</v>
      </c>
      <c r="P64" s="61" t="s">
        <v>211</v>
      </c>
      <c r="Q64" s="95" t="s">
        <v>212</v>
      </c>
      <c r="R64" s="96" t="s">
        <v>213</v>
      </c>
      <c r="S64" s="58">
        <f t="shared" si="30"/>
        <v>0.33199542960556289</v>
      </c>
      <c r="T64" s="65">
        <f t="shared" si="27"/>
        <v>-0.32539890788014453</v>
      </c>
      <c r="U64" s="64">
        <f t="shared" si="16"/>
        <v>0.9341477712648123</v>
      </c>
      <c r="V64" s="57" t="s">
        <v>214</v>
      </c>
      <c r="W64" s="61" t="s">
        <v>215</v>
      </c>
      <c r="X64" s="65">
        <f t="shared" si="17"/>
        <v>0.12854284772289043</v>
      </c>
      <c r="Y64" s="63">
        <f t="shared" si="31"/>
        <v>7.5174281353479283E-2</v>
      </c>
      <c r="Z64" s="64">
        <f t="shared" si="19"/>
        <v>0.8957306798540523</v>
      </c>
    </row>
    <row r="65" spans="1:26" ht="16.5" thickBot="1" x14ac:dyDescent="0.3">
      <c r="A65" s="19" t="s">
        <v>245</v>
      </c>
      <c r="B65" s="21">
        <f t="shared" si="20"/>
        <v>28</v>
      </c>
      <c r="C65" s="21">
        <f t="shared" si="21"/>
        <v>6</v>
      </c>
      <c r="D65" s="21">
        <f t="shared" si="32"/>
        <v>178</v>
      </c>
      <c r="E65" s="26">
        <f t="shared" si="22"/>
        <v>23.324965171695926</v>
      </c>
      <c r="F65" s="24">
        <f t="shared" si="23"/>
        <v>185.30281458766837</v>
      </c>
      <c r="G65" s="46">
        <f t="shared" si="24"/>
        <v>185.52039683012555</v>
      </c>
      <c r="H65" s="45">
        <f t="shared" si="25"/>
        <v>0.99605207326574119</v>
      </c>
      <c r="I65" s="48">
        <f t="shared" si="26"/>
        <v>-2.8425072486663439</v>
      </c>
      <c r="J65" s="2"/>
      <c r="K65" s="41">
        <f t="shared" si="29"/>
        <v>1.8604166440316535E-2</v>
      </c>
      <c r="L65" s="34">
        <f t="shared" si="15"/>
        <v>0.57945245013816182</v>
      </c>
      <c r="M65" s="75">
        <v>23.286999999999999</v>
      </c>
      <c r="N65" s="2"/>
      <c r="O65" s="56">
        <v>43453</v>
      </c>
      <c r="P65" s="61" t="s">
        <v>216</v>
      </c>
      <c r="Q65" s="95" t="s">
        <v>217</v>
      </c>
      <c r="R65" s="96" t="s">
        <v>218</v>
      </c>
      <c r="S65" s="58">
        <f t="shared" si="30"/>
        <v>0.34245704144500111</v>
      </c>
      <c r="T65" s="65">
        <f t="shared" si="27"/>
        <v>-0.33865509337656508</v>
      </c>
      <c r="U65" s="64">
        <f t="shared" si="16"/>
        <v>0.94911234957896773</v>
      </c>
      <c r="V65" s="57" t="s">
        <v>219</v>
      </c>
      <c r="W65" s="61" t="s">
        <v>220</v>
      </c>
      <c r="X65" s="65">
        <f t="shared" si="17"/>
        <v>0.11341868077948417</v>
      </c>
      <c r="Y65" s="63">
        <f t="shared" si="31"/>
        <v>6.0932003472117968E-2</v>
      </c>
      <c r="Z65" s="64">
        <f t="shared" si="19"/>
        <v>0.90433868021696373</v>
      </c>
    </row>
    <row r="66" spans="1:26" ht="16.5" thickBot="1" x14ac:dyDescent="0.3">
      <c r="A66" s="19" t="s">
        <v>20</v>
      </c>
      <c r="B66" s="21">
        <f t="shared" si="20"/>
        <v>1</v>
      </c>
      <c r="C66" s="21">
        <f t="shared" si="21"/>
        <v>7</v>
      </c>
      <c r="D66" s="21">
        <f t="shared" si="32"/>
        <v>181</v>
      </c>
      <c r="E66" s="26">
        <f t="shared" si="22"/>
        <v>23.175212423003135</v>
      </c>
      <c r="F66" s="24">
        <f t="shared" si="23"/>
        <v>188.25977439491842</v>
      </c>
      <c r="G66" s="46">
        <f t="shared" si="24"/>
        <v>188.37893493027192</v>
      </c>
      <c r="H66" s="45">
        <f t="shared" si="25"/>
        <v>0.99521860854281863</v>
      </c>
      <c r="I66" s="48">
        <f t="shared" si="26"/>
        <v>-3.4426018491705879</v>
      </c>
      <c r="J66" s="2"/>
      <c r="K66" s="41">
        <f t="shared" si="29"/>
        <v>2.2531776416669032E-2</v>
      </c>
      <c r="L66" s="34">
        <f t="shared" si="15"/>
        <v>0.57480724830170116</v>
      </c>
      <c r="M66" s="74">
        <v>23.12</v>
      </c>
      <c r="N66" s="2"/>
      <c r="O66" s="56">
        <v>43460</v>
      </c>
      <c r="P66" s="61" t="s">
        <v>221</v>
      </c>
      <c r="Q66" s="97" t="s">
        <v>222</v>
      </c>
      <c r="R66" s="98" t="s">
        <v>223</v>
      </c>
      <c r="S66" s="66">
        <f t="shared" si="30"/>
        <v>0.35189643244608865</v>
      </c>
      <c r="T66" s="69">
        <f t="shared" si="27"/>
        <v>-0.34848348720928435</v>
      </c>
      <c r="U66" s="68">
        <f t="shared" si="16"/>
        <v>0.95110870925470281</v>
      </c>
      <c r="V66" s="57" t="s">
        <v>224</v>
      </c>
      <c r="W66" s="61" t="s">
        <v>225</v>
      </c>
      <c r="X66" s="69">
        <f t="shared" si="17"/>
        <v>0.11052391098267461</v>
      </c>
      <c r="Y66" s="67">
        <f t="shared" si="31"/>
        <v>5.3833415955094575E-2</v>
      </c>
      <c r="Z66" s="68">
        <f t="shared" si="19"/>
        <v>0.90347281095198129</v>
      </c>
    </row>
    <row r="67" spans="1:26" ht="15.75" x14ac:dyDescent="0.25">
      <c r="A67" s="19" t="s">
        <v>246</v>
      </c>
      <c r="B67" s="21">
        <f t="shared" si="20"/>
        <v>10</v>
      </c>
      <c r="C67" s="21">
        <f t="shared" si="21"/>
        <v>7</v>
      </c>
      <c r="D67" s="21">
        <f t="shared" si="32"/>
        <v>190</v>
      </c>
      <c r="E67" s="26">
        <f t="shared" si="22"/>
        <v>22.364394862041991</v>
      </c>
      <c r="F67" s="24">
        <f t="shared" si="23"/>
        <v>197.13065381666848</v>
      </c>
      <c r="G67" s="46">
        <f t="shared" si="24"/>
        <v>196.95369723961329</v>
      </c>
      <c r="H67" s="45">
        <f t="shared" si="25"/>
        <v>0.99305954319513134</v>
      </c>
      <c r="I67" s="48">
        <f t="shared" si="26"/>
        <v>-4.9971288995054319</v>
      </c>
      <c r="J67" s="2"/>
      <c r="K67" s="41">
        <f t="shared" si="29"/>
        <v>3.2706132170369523E-2</v>
      </c>
      <c r="L67" s="34">
        <f t="shared" si="15"/>
        <v>0.55114835154772124</v>
      </c>
      <c r="M67" s="75">
        <v>22.263000000000002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19" t="s">
        <v>247</v>
      </c>
      <c r="B68" s="21">
        <f t="shared" si="20"/>
        <v>20</v>
      </c>
      <c r="C68" s="21">
        <f t="shared" si="21"/>
        <v>7</v>
      </c>
      <c r="D68" s="21">
        <f t="shared" si="32"/>
        <v>200</v>
      </c>
      <c r="E68" s="26">
        <f t="shared" si="22"/>
        <v>20.855616817244297</v>
      </c>
      <c r="F68" s="24">
        <f t="shared" si="23"/>
        <v>206.98718650750189</v>
      </c>
      <c r="G68" s="46">
        <f t="shared" si="24"/>
        <v>206.48648130284877</v>
      </c>
      <c r="H68" s="45">
        <f t="shared" si="25"/>
        <v>0.99155861249734534</v>
      </c>
      <c r="I68" s="48">
        <f t="shared" si="26"/>
        <v>-6.077799001911357</v>
      </c>
      <c r="J68" s="2"/>
      <c r="K68" s="41">
        <f t="shared" si="29"/>
        <v>3.9779101451860935E-2</v>
      </c>
      <c r="L68" s="34">
        <f t="shared" si="15"/>
        <v>0.5088640492159523</v>
      </c>
      <c r="M68" s="75">
        <v>20.704999999999998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19" t="s">
        <v>21</v>
      </c>
      <c r="B69" s="21">
        <f t="shared" si="20"/>
        <v>1</v>
      </c>
      <c r="C69" s="21">
        <f t="shared" si="21"/>
        <v>8</v>
      </c>
      <c r="D69" s="21">
        <f t="shared" si="32"/>
        <v>212</v>
      </c>
      <c r="E69" s="26">
        <f t="shared" si="22"/>
        <v>18.278637497452895</v>
      </c>
      <c r="F69" s="24">
        <f t="shared" si="23"/>
        <v>218.81502573650201</v>
      </c>
      <c r="G69" s="46">
        <f t="shared" si="24"/>
        <v>217.94614697460241</v>
      </c>
      <c r="H69" s="45">
        <f t="shared" si="25"/>
        <v>0.99140821885852892</v>
      </c>
      <c r="I69" s="48">
        <f t="shared" si="26"/>
        <v>-6.1860824218591759</v>
      </c>
      <c r="J69" s="2"/>
      <c r="K69" s="41">
        <f t="shared" si="29"/>
        <v>4.0487814778231906E-2</v>
      </c>
      <c r="L69" s="34">
        <f t="shared" si="15"/>
        <v>0.43947124107474006</v>
      </c>
      <c r="M69" s="74">
        <v>18.077999999999999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19" t="s">
        <v>248</v>
      </c>
      <c r="B70" s="21">
        <f t="shared" si="20"/>
        <v>8</v>
      </c>
      <c r="C70" s="21">
        <f t="shared" si="21"/>
        <v>8</v>
      </c>
      <c r="D70" s="21">
        <f t="shared" si="32"/>
        <v>219</v>
      </c>
      <c r="E70" s="26">
        <f t="shared" si="22"/>
        <v>16.435250394433318</v>
      </c>
      <c r="F70" s="24">
        <f t="shared" si="23"/>
        <v>225.71459862008541</v>
      </c>
      <c r="G70" s="46">
        <f t="shared" si="24"/>
        <v>224.64704556909959</v>
      </c>
      <c r="H70" s="45">
        <f t="shared" si="25"/>
        <v>0.99223391466254074</v>
      </c>
      <c r="I70" s="48">
        <f t="shared" si="26"/>
        <v>-5.5915814429706678</v>
      </c>
      <c r="J70" s="2"/>
      <c r="K70" s="41">
        <f t="shared" si="29"/>
        <v>3.6596814969748689E-2</v>
      </c>
      <c r="L70" s="34">
        <f t="shared" si="15"/>
        <v>0.39139528443265986</v>
      </c>
      <c r="M70" s="75">
        <v>16.21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19" t="s">
        <v>22</v>
      </c>
      <c r="B71" s="21">
        <f t="shared" si="20"/>
        <v>15</v>
      </c>
      <c r="C71" s="21">
        <f t="shared" si="21"/>
        <v>8</v>
      </c>
      <c r="D71" s="21">
        <f t="shared" si="32"/>
        <v>226</v>
      </c>
      <c r="E71" s="26">
        <f t="shared" si="22"/>
        <v>14.37535907565627</v>
      </c>
      <c r="F71" s="24">
        <f t="shared" si="23"/>
        <v>232.61417150366881</v>
      </c>
      <c r="G71" s="46">
        <f t="shared" si="24"/>
        <v>231.36340609496239</v>
      </c>
      <c r="H71" s="45">
        <f t="shared" si="25"/>
        <v>0.99371922192919349</v>
      </c>
      <c r="I71" s="48">
        <f t="shared" si="26"/>
        <v>-4.5221602109806902</v>
      </c>
      <c r="J71" s="2"/>
      <c r="K71" s="41">
        <f t="shared" si="29"/>
        <v>2.9597469372975055E-2</v>
      </c>
      <c r="L71" s="34">
        <f t="shared" si="15"/>
        <v>0.33887030829204567</v>
      </c>
      <c r="M71" s="74">
        <v>14.128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19" t="s">
        <v>249</v>
      </c>
      <c r="B72" s="21">
        <f t="shared" si="20"/>
        <v>20</v>
      </c>
      <c r="C72" s="21">
        <f t="shared" si="21"/>
        <v>8</v>
      </c>
      <c r="D72" s="21">
        <f t="shared" si="32"/>
        <v>231</v>
      </c>
      <c r="E72" s="26">
        <f t="shared" si="22"/>
        <v>12.787603745845569</v>
      </c>
      <c r="F72" s="24">
        <f t="shared" si="23"/>
        <v>237.54243784908553</v>
      </c>
      <c r="G72" s="46">
        <f t="shared" si="24"/>
        <v>236.17175287486188</v>
      </c>
      <c r="H72" s="45">
        <f t="shared" si="25"/>
        <v>0.99515459896097536</v>
      </c>
      <c r="I72" s="48">
        <f t="shared" si="26"/>
        <v>-3.4886887480977435</v>
      </c>
      <c r="J72" s="2"/>
      <c r="K72" s="41">
        <f t="shared" si="29"/>
        <v>2.2833414464825685E-2</v>
      </c>
      <c r="L72" s="34">
        <f t="shared" ref="L72:L97" si="33">$G$6*TAN($M72/180*3.141592654)*COS($C$8/180*3.141592654)</f>
        <v>0.29916103929746951</v>
      </c>
      <c r="M72" s="75">
        <v>12.528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19" t="s">
        <v>250</v>
      </c>
      <c r="B73" s="21">
        <f t="shared" si="20"/>
        <v>24</v>
      </c>
      <c r="C73" s="21">
        <f t="shared" si="21"/>
        <v>8</v>
      </c>
      <c r="D73" s="21">
        <f t="shared" si="32"/>
        <v>235</v>
      </c>
      <c r="E73" s="26">
        <f t="shared" si="22"/>
        <v>11.455912781388601</v>
      </c>
      <c r="F73" s="24">
        <f t="shared" si="23"/>
        <v>241.48505092541888</v>
      </c>
      <c r="G73" s="46">
        <f t="shared" si="24"/>
        <v>240.02568722454598</v>
      </c>
      <c r="H73" s="45">
        <f t="shared" si="25"/>
        <v>0.99650520110132501</v>
      </c>
      <c r="I73" s="48">
        <f t="shared" si="26"/>
        <v>-2.516255207045992</v>
      </c>
      <c r="J73" s="2"/>
      <c r="K73" s="41">
        <f t="shared" si="29"/>
        <v>1.6468851820926955E-2</v>
      </c>
      <c r="L73" s="34">
        <f t="shared" si="33"/>
        <v>0.2662843958437105</v>
      </c>
      <c r="M73" s="75">
        <v>11.188000000000001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19" t="s">
        <v>251</v>
      </c>
      <c r="B74" s="21">
        <f t="shared" si="20"/>
        <v>27</v>
      </c>
      <c r="C74" s="21">
        <f t="shared" si="21"/>
        <v>8</v>
      </c>
      <c r="D74" s="21">
        <f t="shared" si="32"/>
        <v>238</v>
      </c>
      <c r="E74" s="26">
        <f t="shared" si="22"/>
        <v>10.424980490377099</v>
      </c>
      <c r="F74" s="24">
        <f t="shared" si="23"/>
        <v>244.4420107326689</v>
      </c>
      <c r="G74" s="46">
        <f t="shared" si="24"/>
        <v>242.92064923183057</v>
      </c>
      <c r="H74" s="45">
        <f t="shared" si="25"/>
        <v>0.99762403713179582</v>
      </c>
      <c r="I74" s="48">
        <f t="shared" si="26"/>
        <v>-1.7106932651070128</v>
      </c>
      <c r="J74" s="2"/>
      <c r="K74" s="41">
        <f t="shared" si="29"/>
        <v>1.1196461239390554E-2</v>
      </c>
      <c r="L74" s="34">
        <f t="shared" si="33"/>
        <v>0.2411002033361338</v>
      </c>
      <c r="M74" s="75">
        <v>10.153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19" t="s">
        <v>23</v>
      </c>
      <c r="B75" s="21">
        <f t="shared" si="20"/>
        <v>1</v>
      </c>
      <c r="C75" s="21">
        <f t="shared" si="21"/>
        <v>9</v>
      </c>
      <c r="D75" s="21">
        <f t="shared" si="32"/>
        <v>243</v>
      </c>
      <c r="E75" s="26">
        <f t="shared" si="22"/>
        <v>8.6526075508913607</v>
      </c>
      <c r="F75" s="24">
        <f t="shared" si="23"/>
        <v>249.37027707808565</v>
      </c>
      <c r="G75" s="46">
        <f t="shared" si="24"/>
        <v>247.75466519025255</v>
      </c>
      <c r="H75" s="45">
        <f t="shared" si="25"/>
        <v>0.99966395693983023</v>
      </c>
      <c r="I75" s="48">
        <f t="shared" si="26"/>
        <v>-0.24195100332223163</v>
      </c>
      <c r="J75" s="2"/>
      <c r="K75" s="41">
        <f t="shared" si="29"/>
        <v>1.5835656138855261E-3</v>
      </c>
      <c r="L75" s="34">
        <f t="shared" si="33"/>
        <v>0.19815817445593426</v>
      </c>
      <c r="M75" s="74">
        <v>8.3729999999999993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19" t="s">
        <v>252</v>
      </c>
      <c r="B76" s="21">
        <f t="shared" si="20"/>
        <v>8</v>
      </c>
      <c r="C76" s="21">
        <f t="shared" si="21"/>
        <v>9</v>
      </c>
      <c r="D76" s="21">
        <f t="shared" si="32"/>
        <v>250</v>
      </c>
      <c r="E76" s="26">
        <f t="shared" si="22"/>
        <v>6.0763817194096275</v>
      </c>
      <c r="F76" s="24">
        <f t="shared" si="23"/>
        <v>256.26984996166902</v>
      </c>
      <c r="G76" s="46">
        <f t="shared" si="24"/>
        <v>254.54249573305293</v>
      </c>
      <c r="H76" s="45">
        <f t="shared" si="25"/>
        <v>1.0028098900522966</v>
      </c>
      <c r="I76" s="48">
        <f t="shared" si="26"/>
        <v>2.023120837653547</v>
      </c>
      <c r="J76" s="2"/>
      <c r="K76" s="41">
        <f t="shared" si="29"/>
        <v>-1.3241294920263979E-2</v>
      </c>
      <c r="L76" s="34">
        <f t="shared" si="33"/>
        <v>0.13651622328468382</v>
      </c>
      <c r="M76" s="75">
        <v>5.79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19" t="s">
        <v>24</v>
      </c>
      <c r="B77" s="21">
        <f t="shared" si="20"/>
        <v>15</v>
      </c>
      <c r="C77" s="21">
        <f t="shared" si="21"/>
        <v>9</v>
      </c>
      <c r="D77" s="21">
        <f t="shared" si="32"/>
        <v>257</v>
      </c>
      <c r="E77" s="26">
        <f t="shared" si="22"/>
        <v>3.4175032539233574</v>
      </c>
      <c r="F77" s="24">
        <f t="shared" si="23"/>
        <v>263.16942284525243</v>
      </c>
      <c r="G77" s="46">
        <f t="shared" si="24"/>
        <v>261.355344454109</v>
      </c>
      <c r="H77" s="45">
        <f t="shared" si="25"/>
        <v>1.0061677604399175</v>
      </c>
      <c r="I77" s="48">
        <f t="shared" si="26"/>
        <v>4.4407875167406097</v>
      </c>
      <c r="J77" s="2"/>
      <c r="K77" s="41">
        <f t="shared" si="29"/>
        <v>-2.9064886334515004E-2</v>
      </c>
      <c r="L77" s="34">
        <f t="shared" si="33"/>
        <v>7.3573656764549078E-2</v>
      </c>
      <c r="M77" s="74">
        <v>3.1280000000000001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19" t="s">
        <v>253</v>
      </c>
      <c r="B78" s="21">
        <f t="shared" si="20"/>
        <v>22</v>
      </c>
      <c r="C78" s="21">
        <f t="shared" si="21"/>
        <v>9</v>
      </c>
      <c r="D78" s="21">
        <f t="shared" si="32"/>
        <v>264</v>
      </c>
      <c r="E78" s="26">
        <f t="shared" si="22"/>
        <v>0.70742656989374908</v>
      </c>
      <c r="F78" s="24">
        <f t="shared" si="23"/>
        <v>270.06899572883583</v>
      </c>
      <c r="G78" s="46">
        <f t="shared" si="24"/>
        <v>268.19446742500185</v>
      </c>
      <c r="H78" s="45">
        <f t="shared" si="25"/>
        <v>1.0095867629394251</v>
      </c>
      <c r="I78" s="48">
        <f t="shared" si="26"/>
        <v>6.9024693163860462</v>
      </c>
      <c r="J78" s="2"/>
      <c r="K78" s="41">
        <f t="shared" si="29"/>
        <v>-4.5176556039205847E-2</v>
      </c>
      <c r="L78" s="34">
        <f t="shared" si="33"/>
        <v>9.8691760445797482E-3</v>
      </c>
      <c r="M78" s="75">
        <v>0.42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19" t="s">
        <v>254</v>
      </c>
      <c r="B79" s="21">
        <f t="shared" si="20"/>
        <v>26</v>
      </c>
      <c r="C79" s="21">
        <f t="shared" si="21"/>
        <v>9</v>
      </c>
      <c r="D79" s="21">
        <f t="shared" si="32"/>
        <v>268</v>
      </c>
      <c r="E79" s="26">
        <f t="shared" si="22"/>
        <v>-0.85185694329111328</v>
      </c>
      <c r="F79" s="24">
        <f t="shared" si="23"/>
        <v>274.0116088051692</v>
      </c>
      <c r="G79" s="46">
        <f t="shared" si="24"/>
        <v>272.11468733784238</v>
      </c>
      <c r="H79" s="45">
        <f t="shared" si="25"/>
        <v>2.0115071782576592</v>
      </c>
      <c r="I79" s="48">
        <f t="shared" si="26"/>
        <v>8.2851683455146485</v>
      </c>
      <c r="J79" s="2"/>
      <c r="K79" s="41">
        <f t="shared" si="29"/>
        <v>-5.4226300023796158E-2</v>
      </c>
      <c r="L79" s="34">
        <f t="shared" si="33"/>
        <v>-2.6720298462986621E-2</v>
      </c>
      <c r="M79" s="75">
        <v>-1.137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19" t="s">
        <v>25</v>
      </c>
      <c r="B80" s="21">
        <f t="shared" si="20"/>
        <v>1</v>
      </c>
      <c r="C80" s="21">
        <f t="shared" si="21"/>
        <v>10</v>
      </c>
      <c r="D80" s="21">
        <f t="shared" si="32"/>
        <v>273</v>
      </c>
      <c r="E80" s="26">
        <f t="shared" si="22"/>
        <v>-2.8004389830597263</v>
      </c>
      <c r="F80" s="24">
        <f t="shared" si="23"/>
        <v>278.93987515058592</v>
      </c>
      <c r="G80" s="46">
        <f t="shared" si="24"/>
        <v>277.02759654395584</v>
      </c>
      <c r="H80" s="45">
        <f t="shared" si="25"/>
        <v>2.0138172653137278</v>
      </c>
      <c r="I80" s="48">
        <f t="shared" si="26"/>
        <v>9.948431025884048</v>
      </c>
      <c r="J80" s="2"/>
      <c r="K80" s="41">
        <f t="shared" si="29"/>
        <v>-6.5112328811964604E-2</v>
      </c>
      <c r="L80" s="34">
        <f t="shared" si="33"/>
        <v>-7.2442454310446339E-2</v>
      </c>
      <c r="M80" s="74">
        <v>-3.08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19" t="s">
        <v>255</v>
      </c>
      <c r="B81" s="21">
        <f t="shared" si="20"/>
        <v>8</v>
      </c>
      <c r="C81" s="21">
        <f t="shared" si="21"/>
        <v>10</v>
      </c>
      <c r="D81" s="21">
        <f t="shared" si="32"/>
        <v>280</v>
      </c>
      <c r="E81" s="26">
        <f t="shared" si="22"/>
        <v>-5.5055929550800355</v>
      </c>
      <c r="F81" s="24">
        <f t="shared" si="23"/>
        <v>285.83944803416927</v>
      </c>
      <c r="G81" s="46">
        <f t="shared" si="24"/>
        <v>283.92942891368176</v>
      </c>
      <c r="H81" s="45">
        <f t="shared" si="25"/>
        <v>2.016777353526289</v>
      </c>
      <c r="I81" s="48">
        <f t="shared" si="26"/>
        <v>12.079694538928045</v>
      </c>
      <c r="J81" s="2"/>
      <c r="K81" s="41">
        <f t="shared" si="29"/>
        <v>-7.9061415887625552E-2</v>
      </c>
      <c r="L81" s="34">
        <f t="shared" si="33"/>
        <v>-0.13623135870570863</v>
      </c>
      <c r="M81" s="75">
        <v>-5.7779999999999996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19" t="s">
        <v>26</v>
      </c>
      <c r="B82" s="21">
        <f t="shared" si="20"/>
        <v>15</v>
      </c>
      <c r="C82" s="21">
        <f t="shared" si="21"/>
        <v>10</v>
      </c>
      <c r="D82" s="21">
        <f t="shared" si="32"/>
        <v>287</v>
      </c>
      <c r="E82" s="26">
        <f t="shared" si="22"/>
        <v>-8.1528751058807281</v>
      </c>
      <c r="F82" s="24">
        <f t="shared" si="23"/>
        <v>292.73902091775267</v>
      </c>
      <c r="G82" s="46">
        <f t="shared" si="24"/>
        <v>290.85892509320223</v>
      </c>
      <c r="H82" s="45">
        <f t="shared" si="25"/>
        <v>2.0192752599180932</v>
      </c>
      <c r="I82" s="48">
        <f t="shared" si="26"/>
        <v>13.878187141027105</v>
      </c>
      <c r="J82" s="2"/>
      <c r="K82" s="41">
        <f t="shared" si="29"/>
        <v>-9.0832522443933375E-2</v>
      </c>
      <c r="L82" s="34">
        <f t="shared" si="33"/>
        <v>-0.1991185397267547</v>
      </c>
      <c r="M82" s="74">
        <v>-8.4130000000000003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19" t="s">
        <v>256</v>
      </c>
      <c r="B83" s="21">
        <f t="shared" si="20"/>
        <v>22</v>
      </c>
      <c r="C83" s="21">
        <f t="shared" si="21"/>
        <v>10</v>
      </c>
      <c r="D83" s="21">
        <f t="shared" si="32"/>
        <v>294</v>
      </c>
      <c r="E83" s="26">
        <f t="shared" si="22"/>
        <v>-10.70660782146515</v>
      </c>
      <c r="F83" s="24">
        <f t="shared" si="23"/>
        <v>299.63859380133613</v>
      </c>
      <c r="G83" s="46">
        <f t="shared" si="24"/>
        <v>297.81565168771067</v>
      </c>
      <c r="H83" s="45">
        <f t="shared" si="25"/>
        <v>2.0211624243853619</v>
      </c>
      <c r="I83" s="48">
        <f t="shared" si="26"/>
        <v>15.236945557460544</v>
      </c>
      <c r="J83" s="2"/>
      <c r="K83" s="41">
        <f t="shared" si="29"/>
        <v>-9.9725575484824955E-2</v>
      </c>
      <c r="L83" s="34">
        <f t="shared" si="33"/>
        <v>-0.26052667895127024</v>
      </c>
      <c r="M83" s="75">
        <v>-10.952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19" t="s">
        <v>27</v>
      </c>
      <c r="B84" s="21">
        <f t="shared" si="20"/>
        <v>1</v>
      </c>
      <c r="C84" s="21">
        <f t="shared" si="21"/>
        <v>11</v>
      </c>
      <c r="D84" s="21">
        <f t="shared" si="32"/>
        <v>304</v>
      </c>
      <c r="E84" s="26">
        <f t="shared" si="22"/>
        <v>-14.119036576838573</v>
      </c>
      <c r="F84" s="24">
        <f t="shared" si="23"/>
        <v>309.4951264921695</v>
      </c>
      <c r="G84" s="46">
        <f t="shared" si="24"/>
        <v>307.79934625898119</v>
      </c>
      <c r="H84" s="45">
        <f t="shared" si="25"/>
        <v>2.0225417484713759</v>
      </c>
      <c r="I84" s="48">
        <f t="shared" si="26"/>
        <v>16.230058899390656</v>
      </c>
      <c r="J84" s="2"/>
      <c r="K84" s="41">
        <f t="shared" si="29"/>
        <v>-0.10622548710898544</v>
      </c>
      <c r="L84" s="34">
        <f t="shared" si="33"/>
        <v>-0.34409726426879989</v>
      </c>
      <c r="M84" s="74">
        <v>-14.337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19" t="s">
        <v>257</v>
      </c>
      <c r="B85" s="21">
        <f t="shared" si="20"/>
        <v>8</v>
      </c>
      <c r="C85" s="21">
        <f t="shared" si="21"/>
        <v>11</v>
      </c>
      <c r="D85" s="21">
        <f t="shared" si="32"/>
        <v>311</v>
      </c>
      <c r="E85" s="26">
        <f t="shared" si="22"/>
        <v>-16.28977668200892</v>
      </c>
      <c r="F85" s="24">
        <f t="shared" si="23"/>
        <v>316.39469937575291</v>
      </c>
      <c r="G85" s="46">
        <f t="shared" si="24"/>
        <v>314.81800303948813</v>
      </c>
      <c r="H85" s="45">
        <f t="shared" si="25"/>
        <v>2.0224461302335146</v>
      </c>
      <c r="I85" s="48">
        <f t="shared" si="26"/>
        <v>16.161213768130516</v>
      </c>
      <c r="J85" s="2"/>
      <c r="K85" s="41">
        <f t="shared" si="29"/>
        <v>-0.10577489677850518</v>
      </c>
      <c r="L85" s="34">
        <f t="shared" si="33"/>
        <v>-0.39846421504697083</v>
      </c>
      <c r="M85" s="75">
        <v>-16.486999999999998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19" t="s">
        <v>28</v>
      </c>
      <c r="B86" s="21">
        <f t="shared" si="20"/>
        <v>15</v>
      </c>
      <c r="C86" s="21">
        <f t="shared" si="21"/>
        <v>11</v>
      </c>
      <c r="D86" s="21">
        <f t="shared" si="32"/>
        <v>318</v>
      </c>
      <c r="E86" s="26">
        <f t="shared" si="22"/>
        <v>-18.237002193524535</v>
      </c>
      <c r="F86" s="24">
        <f t="shared" si="23"/>
        <v>323.29427225933631</v>
      </c>
      <c r="G86" s="46">
        <f t="shared" si="24"/>
        <v>321.85949594089152</v>
      </c>
      <c r="H86" s="45">
        <f t="shared" si="25"/>
        <v>2.0214085648157529</v>
      </c>
      <c r="I86" s="48">
        <f t="shared" si="26"/>
        <v>15.414166667342108</v>
      </c>
      <c r="J86" s="2"/>
      <c r="K86" s="41">
        <f t="shared" si="29"/>
        <v>-0.1008854849367784</v>
      </c>
      <c r="L86" s="34">
        <f t="shared" si="33"/>
        <v>-0.44806795146224965</v>
      </c>
      <c r="M86" s="74">
        <v>-18.408000000000001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19" t="s">
        <v>258</v>
      </c>
      <c r="B87" s="21">
        <f t="shared" si="20"/>
        <v>22</v>
      </c>
      <c r="C87" s="21">
        <f t="shared" si="21"/>
        <v>11</v>
      </c>
      <c r="D87" s="21">
        <f t="shared" si="32"/>
        <v>325</v>
      </c>
      <c r="E87" s="26">
        <f t="shared" si="22"/>
        <v>-19.922979281128175</v>
      </c>
      <c r="F87" s="24">
        <f t="shared" si="23"/>
        <v>330.19384514291971</v>
      </c>
      <c r="G87" s="46">
        <f t="shared" si="24"/>
        <v>328.9217694610569</v>
      </c>
      <c r="H87" s="45">
        <f t="shared" si="25"/>
        <v>2.0194225232328447</v>
      </c>
      <c r="I87" s="48">
        <f t="shared" si="26"/>
        <v>13.984216727648153</v>
      </c>
      <c r="J87" s="2"/>
      <c r="K87" s="41">
        <f t="shared" si="29"/>
        <v>-9.1526484465673658E-2</v>
      </c>
      <c r="L87" s="34">
        <f t="shared" si="33"/>
        <v>-0.49180199145728887</v>
      </c>
      <c r="M87" s="75">
        <v>-20.067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19" t="s">
        <v>29</v>
      </c>
      <c r="B88" s="21">
        <f t="shared" si="20"/>
        <v>1</v>
      </c>
      <c r="C88" s="21">
        <f t="shared" si="21"/>
        <v>12</v>
      </c>
      <c r="D88" s="21">
        <f t="shared" si="32"/>
        <v>334</v>
      </c>
      <c r="E88" s="26">
        <f t="shared" si="22"/>
        <v>-21.650005342547015</v>
      </c>
      <c r="F88" s="24">
        <f t="shared" si="23"/>
        <v>339.0647245646698</v>
      </c>
      <c r="G88" s="46">
        <f t="shared" si="24"/>
        <v>338.0285465697649</v>
      </c>
      <c r="H88" s="45">
        <f t="shared" si="25"/>
        <v>2.0155638642165949</v>
      </c>
      <c r="I88" s="48">
        <f t="shared" si="26"/>
        <v>11.205982235948362</v>
      </c>
      <c r="J88" s="2"/>
      <c r="K88" s="41">
        <f t="shared" si="29"/>
        <v>-7.3342982236062226E-2</v>
      </c>
      <c r="L88" s="34">
        <f t="shared" si="33"/>
        <v>-0.53720665698577064</v>
      </c>
      <c r="M88" s="74">
        <v>-21.753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19" t="s">
        <v>259</v>
      </c>
      <c r="B89" s="21">
        <f t="shared" si="20"/>
        <v>8</v>
      </c>
      <c r="C89" s="21">
        <f t="shared" si="21"/>
        <v>12</v>
      </c>
      <c r="D89" s="21">
        <f t="shared" si="32"/>
        <v>341</v>
      </c>
      <c r="E89" s="26">
        <f t="shared" si="22"/>
        <v>-22.611861696840606</v>
      </c>
      <c r="F89" s="24">
        <f t="shared" si="23"/>
        <v>345.96429744825321</v>
      </c>
      <c r="G89" s="46">
        <f t="shared" si="24"/>
        <v>345.12904469547448</v>
      </c>
      <c r="H89" s="45">
        <f t="shared" si="25"/>
        <v>2.0116990225123463</v>
      </c>
      <c r="I89" s="48">
        <f t="shared" si="26"/>
        <v>8.4232962088893615</v>
      </c>
      <c r="J89" s="2"/>
      <c r="K89" s="41">
        <f t="shared" si="29"/>
        <v>-5.5130344775651811E-2</v>
      </c>
      <c r="L89" s="34">
        <f t="shared" si="33"/>
        <v>-0.56267856962038998</v>
      </c>
      <c r="M89" s="75">
        <v>-22.681999999999999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19" t="s">
        <v>30</v>
      </c>
      <c r="B90" s="21">
        <f t="shared" si="20"/>
        <v>15</v>
      </c>
      <c r="C90" s="21">
        <f t="shared" si="21"/>
        <v>12</v>
      </c>
      <c r="D90" s="21">
        <f t="shared" si="32"/>
        <v>348</v>
      </c>
      <c r="E90" s="26">
        <f t="shared" si="22"/>
        <v>-23.213321237155139</v>
      </c>
      <c r="F90" s="24">
        <f t="shared" si="23"/>
        <v>352.86387033183661</v>
      </c>
      <c r="G90" s="46">
        <f t="shared" si="24"/>
        <v>352.24164022535939</v>
      </c>
      <c r="H90" s="45">
        <f t="shared" si="25"/>
        <v>2.0072799940487873</v>
      </c>
      <c r="I90" s="48">
        <f t="shared" si="26"/>
        <v>5.2415957151268699</v>
      </c>
      <c r="J90" s="2"/>
      <c r="K90" s="41">
        <f t="shared" si="29"/>
        <v>-3.4306163737250941E-2</v>
      </c>
      <c r="L90" s="34">
        <f t="shared" si="33"/>
        <v>-0.57836660266750495</v>
      </c>
      <c r="M90" s="75">
        <v>-23.248000000000001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19" t="s">
        <v>260</v>
      </c>
      <c r="B91" s="21">
        <f t="shared" si="20"/>
        <v>20</v>
      </c>
      <c r="C91" s="21">
        <f t="shared" si="21"/>
        <v>12</v>
      </c>
      <c r="D91" s="21">
        <f t="shared" si="32"/>
        <v>353</v>
      </c>
      <c r="E91" s="26">
        <f t="shared" si="22"/>
        <v>-23.41312417847508</v>
      </c>
      <c r="F91" s="24">
        <f t="shared" si="23"/>
        <v>357.79213667725332</v>
      </c>
      <c r="G91" s="46">
        <f t="shared" si="24"/>
        <v>357.32776874155195</v>
      </c>
      <c r="H91" s="45">
        <f t="shared" si="25"/>
        <v>2.0039129228389561</v>
      </c>
      <c r="I91" s="48">
        <f t="shared" si="26"/>
        <v>2.8173044440483608</v>
      </c>
      <c r="J91" s="2"/>
      <c r="K91" s="41">
        <f t="shared" si="29"/>
        <v>-1.8439214469799761E-2</v>
      </c>
      <c r="L91" s="34">
        <f t="shared" si="33"/>
        <v>-0.58321607717682167</v>
      </c>
      <c r="M91" s="75">
        <v>-23.422000000000001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19" t="s">
        <v>261</v>
      </c>
      <c r="B92" s="21">
        <f t="shared" si="20"/>
        <v>22</v>
      </c>
      <c r="C92" s="21">
        <f t="shared" si="21"/>
        <v>12</v>
      </c>
      <c r="D92" s="21">
        <f t="shared" si="32"/>
        <v>355</v>
      </c>
      <c r="E92" s="26">
        <f t="shared" si="22"/>
        <v>-23.438493494160937</v>
      </c>
      <c r="F92" s="24">
        <f t="shared" si="23"/>
        <v>359.76344321541995</v>
      </c>
      <c r="G92" s="46">
        <f t="shared" si="24"/>
        <v>359.36324784058382</v>
      </c>
      <c r="H92" s="45">
        <f t="shared" si="25"/>
        <v>2.0025414604894136</v>
      </c>
      <c r="I92" s="48">
        <f t="shared" si="26"/>
        <v>1.8298515523778036</v>
      </c>
      <c r="J92" s="2"/>
      <c r="K92" s="41">
        <f t="shared" si="29"/>
        <v>-1.1976350405959593E-2</v>
      </c>
      <c r="L92" s="34">
        <f t="shared" si="33"/>
        <v>-0.58357890544090263</v>
      </c>
      <c r="M92" s="75">
        <v>-23.434999999999999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19" t="s">
        <v>262</v>
      </c>
      <c r="B93" s="21">
        <f t="shared" si="20"/>
        <v>24</v>
      </c>
      <c r="C93" s="21">
        <f t="shared" si="21"/>
        <v>12</v>
      </c>
      <c r="D93" s="21">
        <f t="shared" si="32"/>
        <v>357</v>
      </c>
      <c r="E93" s="26">
        <f t="shared" si="22"/>
        <v>-23.432542149379213</v>
      </c>
      <c r="F93" s="24">
        <f t="shared" si="23"/>
        <v>361.73474975358664</v>
      </c>
      <c r="G93" s="46">
        <f t="shared" si="24"/>
        <v>361.39920062750679</v>
      </c>
      <c r="H93" s="45">
        <f t="shared" si="25"/>
        <v>2.001165302090627</v>
      </c>
      <c r="I93" s="48">
        <f t="shared" si="26"/>
        <v>0.83901750525146923</v>
      </c>
      <c r="J93" s="2"/>
      <c r="K93" s="41">
        <f t="shared" si="29"/>
        <v>-5.4913567314071295E-3</v>
      </c>
      <c r="L93" s="34">
        <f t="shared" si="33"/>
        <v>-0.58310445206143047</v>
      </c>
      <c r="M93" s="75">
        <v>-23.417999999999999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19" t="s">
        <v>263</v>
      </c>
      <c r="B94" s="21">
        <f t="shared" si="20"/>
        <v>26</v>
      </c>
      <c r="C94" s="21">
        <f t="shared" si="21"/>
        <v>12</v>
      </c>
      <c r="D94" s="21">
        <f t="shared" si="32"/>
        <v>359</v>
      </c>
      <c r="E94" s="26">
        <f t="shared" si="22"/>
        <v>-23.395262284968084</v>
      </c>
      <c r="F94" s="24">
        <f t="shared" si="23"/>
        <v>363.70605629175338</v>
      </c>
      <c r="G94" s="46">
        <f t="shared" si="24"/>
        <v>363.43555058433202</v>
      </c>
      <c r="H94" s="45">
        <f t="shared" si="25"/>
        <v>1.9997907572466249</v>
      </c>
      <c r="I94" s="48">
        <f t="shared" si="26"/>
        <v>-0.1506547824300597</v>
      </c>
      <c r="J94" s="2"/>
      <c r="K94" s="41">
        <f t="shared" si="29"/>
        <v>9.8603324535884141E-4</v>
      </c>
      <c r="L94" s="34">
        <f t="shared" si="33"/>
        <v>-0.58176547670559287</v>
      </c>
      <c r="M94" s="75">
        <v>-23.37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19" t="s">
        <v>264</v>
      </c>
      <c r="B95" s="21">
        <f t="shared" si="20"/>
        <v>28</v>
      </c>
      <c r="C95" s="21">
        <f t="shared" si="21"/>
        <v>12</v>
      </c>
      <c r="D95" s="21">
        <f t="shared" si="32"/>
        <v>361</v>
      </c>
      <c r="E95" s="26">
        <f t="shared" si="22"/>
        <v>-23.326712431039311</v>
      </c>
      <c r="F95" s="24">
        <f t="shared" si="23"/>
        <v>365.67736282992007</v>
      </c>
      <c r="G95" s="46">
        <f t="shared" si="24"/>
        <v>365.4722207229637</v>
      </c>
      <c r="H95" s="45">
        <f t="shared" si="25"/>
        <v>1.9984241129518001</v>
      </c>
      <c r="I95" s="48">
        <f t="shared" si="26"/>
        <v>-1.1346386747039183</v>
      </c>
      <c r="J95" s="2"/>
      <c r="K95" s="41">
        <f t="shared" si="29"/>
        <v>7.4261927612377619E-3</v>
      </c>
      <c r="L95" s="34">
        <f t="shared" si="33"/>
        <v>-0.57959170734540644</v>
      </c>
      <c r="M95" s="75">
        <v>-23.292000000000002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thickBot="1" x14ac:dyDescent="0.3">
      <c r="A96" s="19" t="s">
        <v>265</v>
      </c>
      <c r="B96" s="21">
        <f t="shared" si="20"/>
        <v>31</v>
      </c>
      <c r="C96" s="21">
        <f t="shared" si="21"/>
        <v>12</v>
      </c>
      <c r="D96" s="21">
        <f>31*(C96-1)+B96-1-IF(C96&lt;=2,0,INT(0.4*C96+2.3))</f>
        <v>364</v>
      </c>
      <c r="E96" s="27">
        <f t="shared" si="22"/>
        <v>-23.165546721553056</v>
      </c>
      <c r="F96" s="24">
        <f t="shared" si="23"/>
        <v>368.63432263717004</v>
      </c>
      <c r="G96" s="46">
        <f t="shared" si="24"/>
        <v>368.52765695022026</v>
      </c>
      <c r="H96" s="45">
        <f t="shared" si="25"/>
        <v>1.9964025261683209</v>
      </c>
      <c r="I96" s="49">
        <f t="shared" si="26"/>
        <v>-2.5901811588089352</v>
      </c>
      <c r="J96" s="2"/>
      <c r="K96" s="43">
        <f>-$G$6*$I96/4/180*3.141592654</f>
        <v>1.695269604384033E-2</v>
      </c>
      <c r="L96" s="35">
        <f t="shared" si="33"/>
        <v>-0.57461279223756501</v>
      </c>
      <c r="M96" s="76">
        <v>-23.113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thickBot="1" x14ac:dyDescent="0.3">
      <c r="A97" s="19" t="s">
        <v>266</v>
      </c>
      <c r="B97" s="21">
        <f t="shared" si="20"/>
        <v>1</v>
      </c>
      <c r="C97" s="21">
        <f t="shared" si="21"/>
        <v>1</v>
      </c>
      <c r="D97" s="78">
        <v>365</v>
      </c>
      <c r="E97" s="27">
        <f t="shared" si="22"/>
        <v>-23.096366128198007</v>
      </c>
      <c r="F97" s="24">
        <f t="shared" si="23"/>
        <v>369.61997590625344</v>
      </c>
      <c r="G97" s="46">
        <f t="shared" si="24"/>
        <v>369.54621178993619</v>
      </c>
      <c r="H97" s="45">
        <f t="shared" si="25"/>
        <v>1.9957392710799577</v>
      </c>
      <c r="I97" s="79">
        <v>-3.18</v>
      </c>
      <c r="J97" s="2"/>
      <c r="K97" s="43">
        <f>-$G$6*$I97/4/180*3.141592654</f>
        <v>2.0813051332750004E-2</v>
      </c>
      <c r="L97" s="35">
        <f t="shared" si="33"/>
        <v>-0.57198406866946139</v>
      </c>
      <c r="M97" s="77">
        <v>-23.0183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3"/>
      <c r="R108" s="2"/>
      <c r="S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3"/>
      <c r="R109" s="2"/>
      <c r="S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3"/>
      <c r="R110" s="2"/>
      <c r="S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3"/>
      <c r="R111" s="2"/>
      <c r="S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3"/>
      <c r="R112" s="2"/>
      <c r="S112" s="2"/>
    </row>
    <row r="113" spans="1:19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3"/>
      <c r="R113" s="2"/>
      <c r="S113" s="2"/>
    </row>
    <row r="114" spans="1:19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3"/>
      <c r="R114" s="2"/>
      <c r="S114" s="2"/>
    </row>
    <row r="115" spans="1:19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3"/>
      <c r="R115" s="2"/>
      <c r="S115" s="2"/>
    </row>
    <row r="116" spans="1:19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3"/>
      <c r="R116" s="2"/>
      <c r="S116" s="2"/>
    </row>
    <row r="117" spans="1:19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3"/>
      <c r="R117" s="2"/>
      <c r="S117" s="2"/>
    </row>
    <row r="118" spans="1:19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3"/>
      <c r="R118" s="2"/>
      <c r="S118" s="2"/>
    </row>
    <row r="119" spans="1:19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3"/>
      <c r="R119" s="2"/>
      <c r="S119" s="2"/>
    </row>
    <row r="120" spans="1:19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3"/>
      <c r="R120" s="2"/>
      <c r="S120" s="2"/>
    </row>
    <row r="121" spans="1:19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3"/>
      <c r="R121" s="2"/>
      <c r="S121" s="2"/>
    </row>
    <row r="122" spans="1:19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3"/>
      <c r="R122" s="2"/>
      <c r="S122" s="2"/>
    </row>
    <row r="123" spans="1:19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3"/>
      <c r="R123" s="2"/>
      <c r="S123" s="2"/>
    </row>
    <row r="124" spans="1:19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3"/>
      <c r="R124" s="2"/>
      <c r="S124" s="2"/>
    </row>
    <row r="125" spans="1:19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3"/>
      <c r="R125" s="2"/>
      <c r="S125" s="2"/>
    </row>
    <row r="126" spans="1:19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3"/>
      <c r="R126" s="2"/>
      <c r="S126" s="2"/>
    </row>
    <row r="127" spans="1:19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3"/>
      <c r="R127" s="2"/>
      <c r="S127" s="2"/>
    </row>
    <row r="128" spans="1:19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3"/>
      <c r="R128" s="2"/>
      <c r="S128" s="2"/>
    </row>
    <row r="129" spans="1:19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3"/>
      <c r="R129" s="2"/>
      <c r="S129" s="2"/>
    </row>
    <row r="130" spans="1:19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3"/>
      <c r="R130" s="2"/>
      <c r="S130" s="2"/>
    </row>
    <row r="131" spans="1:19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3"/>
      <c r="R131" s="2"/>
      <c r="S131" s="2"/>
    </row>
    <row r="132" spans="1:19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3"/>
      <c r="R132" s="2"/>
      <c r="S132" s="2"/>
    </row>
    <row r="133" spans="1:19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"/>
      <c r="R133" s="2"/>
      <c r="S133" s="2"/>
    </row>
    <row r="134" spans="1:19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3"/>
      <c r="R134" s="2"/>
      <c r="S134" s="2"/>
    </row>
    <row r="135" spans="1:19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3"/>
      <c r="R135" s="2"/>
      <c r="S135" s="2"/>
    </row>
    <row r="136" spans="1:19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3"/>
      <c r="R136" s="2"/>
      <c r="S136" s="2"/>
    </row>
    <row r="137" spans="1:19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3"/>
      <c r="R137" s="2"/>
      <c r="S137" s="2"/>
    </row>
    <row r="138" spans="1:19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3"/>
      <c r="R138" s="2"/>
      <c r="S138" s="2"/>
    </row>
    <row r="139" spans="1:19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3"/>
      <c r="R139" s="2"/>
      <c r="S139" s="2"/>
    </row>
    <row r="140" spans="1:19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3"/>
      <c r="R140" s="2"/>
      <c r="S140" s="2"/>
    </row>
    <row r="141" spans="1:19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3"/>
      <c r="R141" s="2"/>
      <c r="S141" s="2"/>
    </row>
    <row r="142" spans="1:19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3"/>
      <c r="R142" s="2"/>
      <c r="S142" s="2"/>
    </row>
    <row r="143" spans="1:19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3"/>
      <c r="R143" s="2"/>
      <c r="S143" s="2"/>
    </row>
    <row r="144" spans="1:19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3"/>
      <c r="R144" s="2"/>
      <c r="S144" s="2"/>
    </row>
    <row r="145" spans="1:19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3"/>
      <c r="R145" s="2"/>
      <c r="S145" s="2"/>
    </row>
    <row r="146" spans="1:19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3"/>
      <c r="R146" s="2"/>
      <c r="S146" s="2"/>
    </row>
    <row r="147" spans="1:19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3"/>
      <c r="R147" s="2"/>
      <c r="S147" s="2"/>
    </row>
    <row r="148" spans="1:19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3"/>
      <c r="R148" s="2"/>
      <c r="S148" s="2"/>
    </row>
    <row r="149" spans="1:19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3"/>
      <c r="R149" s="2"/>
      <c r="S149" s="2"/>
    </row>
    <row r="150" spans="1:19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3"/>
      <c r="R150" s="2"/>
      <c r="S150" s="2"/>
    </row>
    <row r="151" spans="1:19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3"/>
      <c r="R151" s="2"/>
      <c r="S151" s="2"/>
    </row>
    <row r="152" spans="1:19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3"/>
      <c r="R152" s="2"/>
      <c r="S152" s="2"/>
    </row>
    <row r="153" spans="1:19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3"/>
      <c r="R153" s="2"/>
      <c r="S153" s="2"/>
    </row>
    <row r="154" spans="1:19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"/>
      <c r="R154" s="2"/>
      <c r="S154" s="2"/>
    </row>
    <row r="155" spans="1:19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"/>
      <c r="R155" s="2"/>
      <c r="S155" s="2"/>
    </row>
    <row r="156" spans="1:19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3"/>
      <c r="R156" s="2"/>
      <c r="S156" s="2"/>
    </row>
    <row r="157" spans="1:19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3"/>
      <c r="R157" s="2"/>
      <c r="S157" s="2"/>
    </row>
    <row r="158" spans="1:19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3"/>
      <c r="R158" s="2"/>
      <c r="S158" s="2"/>
    </row>
    <row r="159" spans="1:19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3"/>
      <c r="R159" s="2"/>
      <c r="S159" s="2"/>
    </row>
    <row r="160" spans="1:19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3"/>
      <c r="R160" s="2"/>
      <c r="S160" s="2"/>
    </row>
    <row r="161" spans="1:19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3"/>
      <c r="R161" s="2"/>
      <c r="S161" s="2"/>
    </row>
    <row r="162" spans="1:19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3"/>
      <c r="R162" s="2"/>
      <c r="S162" s="2"/>
    </row>
    <row r="163" spans="1:19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3"/>
      <c r="R163" s="2"/>
      <c r="S163" s="2"/>
    </row>
    <row r="164" spans="1:19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3"/>
      <c r="R164" s="2"/>
      <c r="S164" s="2"/>
    </row>
    <row r="165" spans="1:19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3"/>
      <c r="R165" s="2"/>
      <c r="S165" s="2"/>
    </row>
    <row r="166" spans="1:19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3"/>
      <c r="R166" s="2"/>
      <c r="S166" s="2"/>
    </row>
    <row r="167" spans="1:19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3"/>
      <c r="R167" s="2"/>
      <c r="S167" s="2"/>
    </row>
    <row r="168" spans="1:19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3"/>
      <c r="R168" s="2"/>
      <c r="S168" s="2"/>
    </row>
    <row r="169" spans="1:19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3"/>
      <c r="R169" s="2"/>
      <c r="S169" s="2"/>
    </row>
    <row r="170" spans="1:19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3"/>
      <c r="R170" s="2"/>
      <c r="S170" s="2"/>
    </row>
    <row r="171" spans="1:19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3"/>
      <c r="R171" s="2"/>
      <c r="S171" s="2"/>
    </row>
    <row r="172" spans="1:19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3"/>
      <c r="R172" s="2"/>
      <c r="S172" s="2"/>
    </row>
    <row r="173" spans="1:19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3"/>
      <c r="R173" s="2"/>
      <c r="S173" s="2"/>
    </row>
    <row r="174" spans="1:19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3"/>
      <c r="R174" s="2"/>
      <c r="S174" s="2"/>
    </row>
    <row r="175" spans="1:19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3"/>
      <c r="R175" s="2"/>
      <c r="S175" s="2"/>
    </row>
    <row r="176" spans="1:19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3"/>
      <c r="R176" s="2"/>
      <c r="S176" s="2"/>
    </row>
    <row r="177" spans="1:19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3"/>
      <c r="R177" s="2"/>
      <c r="S177" s="2"/>
    </row>
    <row r="178" spans="1:19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3"/>
      <c r="R178" s="2"/>
      <c r="S178" s="2"/>
    </row>
    <row r="179" spans="1:19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3"/>
      <c r="R179" s="2"/>
      <c r="S179" s="2"/>
    </row>
    <row r="180" spans="1:19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3"/>
      <c r="R180" s="2"/>
      <c r="S180" s="2"/>
    </row>
    <row r="181" spans="1:19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3"/>
      <c r="R181" s="2"/>
      <c r="S181" s="2"/>
    </row>
    <row r="182" spans="1:19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3"/>
      <c r="R182" s="2"/>
      <c r="S182" s="2"/>
    </row>
    <row r="183" spans="1:19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3"/>
      <c r="R183" s="2"/>
      <c r="S183" s="2"/>
    </row>
    <row r="184" spans="1:19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3"/>
      <c r="R184" s="2"/>
      <c r="S184" s="2"/>
    </row>
    <row r="185" spans="1:19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3"/>
      <c r="R185" s="2"/>
      <c r="S185" s="2"/>
    </row>
    <row r="186" spans="1:19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3"/>
      <c r="R186" s="2"/>
      <c r="S186" s="2"/>
    </row>
    <row r="187" spans="1:19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3"/>
      <c r="R187" s="2"/>
      <c r="S187" s="2"/>
    </row>
    <row r="188" spans="1:19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3"/>
      <c r="R188" s="2"/>
      <c r="S188" s="2"/>
    </row>
    <row r="189" spans="1:19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3"/>
      <c r="R189" s="2"/>
      <c r="S189" s="2"/>
    </row>
    <row r="190" spans="1:19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3"/>
      <c r="R190" s="2"/>
      <c r="S190" s="2"/>
    </row>
    <row r="191" spans="1:19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3"/>
      <c r="R191" s="2"/>
      <c r="S191" s="2"/>
    </row>
    <row r="192" spans="1:19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3"/>
      <c r="R192" s="2"/>
      <c r="S192" s="2"/>
    </row>
    <row r="193" spans="1:19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3"/>
      <c r="R193" s="2"/>
      <c r="S193" s="2"/>
    </row>
    <row r="194" spans="1:19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3"/>
      <c r="R194" s="2"/>
      <c r="S194" s="2"/>
    </row>
    <row r="195" spans="1:19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3"/>
      <c r="R195" s="2"/>
      <c r="S195" s="2"/>
    </row>
    <row r="196" spans="1:19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3"/>
      <c r="R196" s="2"/>
      <c r="S196" s="2"/>
    </row>
    <row r="197" spans="1:19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3"/>
      <c r="R197" s="2"/>
      <c r="S197" s="2"/>
    </row>
    <row r="198" spans="1:19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3"/>
      <c r="R198" s="2"/>
      <c r="S198" s="2"/>
    </row>
    <row r="199" spans="1:19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3"/>
      <c r="R199" s="2"/>
      <c r="S199" s="2"/>
    </row>
    <row r="200" spans="1:19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3"/>
      <c r="R200" s="2"/>
      <c r="S200" s="2"/>
    </row>
    <row r="201" spans="1:19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3"/>
      <c r="R201" s="2"/>
      <c r="S201" s="2"/>
    </row>
    <row r="202" spans="1:19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3"/>
      <c r="R202" s="2"/>
      <c r="S202" s="2"/>
    </row>
    <row r="203" spans="1:19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3"/>
      <c r="R203" s="2"/>
      <c r="S203" s="2"/>
    </row>
    <row r="204" spans="1:19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3"/>
      <c r="R204" s="2"/>
      <c r="S204" s="2"/>
    </row>
    <row r="205" spans="1:19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3"/>
      <c r="R205" s="2"/>
      <c r="S205" s="2"/>
    </row>
    <row r="206" spans="1:19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3"/>
      <c r="R206" s="2"/>
      <c r="S206" s="2"/>
    </row>
    <row r="207" spans="1:19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3"/>
      <c r="R207" s="2"/>
      <c r="S207" s="2"/>
    </row>
    <row r="208" spans="1:19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3"/>
      <c r="R208" s="2"/>
      <c r="S208" s="2"/>
    </row>
    <row r="209" spans="1:19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3"/>
      <c r="R209" s="2"/>
      <c r="S209" s="2"/>
    </row>
    <row r="210" spans="1:19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3"/>
      <c r="R210" s="2"/>
      <c r="S210" s="2"/>
    </row>
    <row r="211" spans="1:19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3"/>
      <c r="R211" s="2"/>
      <c r="S211" s="2"/>
    </row>
    <row r="212" spans="1:19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3"/>
      <c r="R212" s="2"/>
      <c r="S212" s="2"/>
    </row>
    <row r="213" spans="1:19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3"/>
      <c r="R213" s="2"/>
      <c r="S213" s="2"/>
    </row>
    <row r="214" spans="1:19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3"/>
      <c r="R214" s="2"/>
      <c r="S214" s="2"/>
    </row>
    <row r="215" spans="1:19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3"/>
      <c r="R215" s="2"/>
      <c r="S215" s="2"/>
    </row>
    <row r="216" spans="1:19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3"/>
      <c r="R216" s="2"/>
      <c r="S216" s="2"/>
    </row>
    <row r="217" spans="1:19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3"/>
      <c r="R217" s="2"/>
      <c r="S217" s="2"/>
    </row>
    <row r="218" spans="1:19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3"/>
      <c r="R218" s="2"/>
      <c r="S218" s="2"/>
    </row>
    <row r="219" spans="1:19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3"/>
      <c r="R219" s="2"/>
      <c r="S219" s="2"/>
    </row>
    <row r="220" spans="1:19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3"/>
      <c r="R220" s="2"/>
      <c r="S220" s="2"/>
    </row>
    <row r="221" spans="1:19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3"/>
      <c r="R221" s="2"/>
      <c r="S221" s="2"/>
    </row>
    <row r="222" spans="1:19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3"/>
      <c r="R222" s="2"/>
      <c r="S222" s="2"/>
    </row>
    <row r="223" spans="1:19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3"/>
      <c r="R223" s="2"/>
      <c r="S223" s="2"/>
    </row>
    <row r="224" spans="1:19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3"/>
      <c r="R224" s="2"/>
      <c r="S224" s="2"/>
    </row>
    <row r="225" spans="1:19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3"/>
      <c r="R225" s="2"/>
      <c r="S225" s="2"/>
    </row>
    <row r="226" spans="1:19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3"/>
      <c r="R226" s="2"/>
      <c r="S226" s="2"/>
    </row>
    <row r="227" spans="1:19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3"/>
      <c r="R227" s="2"/>
      <c r="S227" s="2"/>
    </row>
    <row r="228" spans="1:19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3"/>
      <c r="R228" s="2"/>
      <c r="S228" s="2"/>
    </row>
    <row r="229" spans="1:19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3"/>
      <c r="R229" s="2"/>
      <c r="S229" s="2"/>
    </row>
    <row r="230" spans="1:19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3"/>
      <c r="R230" s="2"/>
      <c r="S230" s="2"/>
    </row>
    <row r="231" spans="1:19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3"/>
      <c r="R231" s="2"/>
      <c r="S231" s="2"/>
    </row>
    <row r="232" spans="1:19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3"/>
      <c r="R232" s="2"/>
      <c r="S232" s="2"/>
    </row>
    <row r="233" spans="1:19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3"/>
      <c r="R233" s="2"/>
      <c r="S233" s="2"/>
    </row>
    <row r="234" spans="1:19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3"/>
      <c r="R234" s="2"/>
      <c r="S234" s="2"/>
    </row>
    <row r="235" spans="1:19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3"/>
      <c r="R235" s="2"/>
      <c r="S235" s="2"/>
    </row>
    <row r="236" spans="1:19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3"/>
      <c r="R236" s="2"/>
      <c r="S236" s="2"/>
    </row>
    <row r="237" spans="1:19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3"/>
      <c r="R237" s="2"/>
      <c r="S237" s="2"/>
    </row>
    <row r="238" spans="1:19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3"/>
      <c r="R238" s="2"/>
      <c r="S238" s="2"/>
    </row>
    <row r="239" spans="1:19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3"/>
      <c r="R239" s="2"/>
      <c r="S239" s="2"/>
    </row>
    <row r="240" spans="1:19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3"/>
      <c r="R240" s="2"/>
      <c r="S240" s="2"/>
    </row>
    <row r="241" spans="1:19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3"/>
      <c r="R241" s="2"/>
      <c r="S241" s="2"/>
    </row>
    <row r="242" spans="1:19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3"/>
      <c r="R242" s="2"/>
      <c r="S242" s="2"/>
    </row>
    <row r="243" spans="1:19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3"/>
      <c r="R243" s="2"/>
      <c r="S243" s="2"/>
    </row>
    <row r="244" spans="1:19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3"/>
      <c r="R244" s="2"/>
      <c r="S244" s="2"/>
    </row>
    <row r="245" spans="1:19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3"/>
      <c r="R245" s="2"/>
      <c r="S245" s="2"/>
    </row>
    <row r="246" spans="1:19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3"/>
      <c r="R246" s="2"/>
      <c r="S246" s="2"/>
    </row>
    <row r="247" spans="1:19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3"/>
      <c r="R247" s="2"/>
      <c r="S247" s="2"/>
    </row>
    <row r="248" spans="1:19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3"/>
      <c r="R248" s="2"/>
      <c r="S248" s="2"/>
    </row>
    <row r="249" spans="1:19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3"/>
      <c r="R249" s="2"/>
      <c r="S249" s="2"/>
    </row>
    <row r="250" spans="1:19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3"/>
      <c r="R250" s="2"/>
      <c r="S250" s="2"/>
    </row>
    <row r="251" spans="1:19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3"/>
      <c r="R251" s="2"/>
      <c r="S251" s="2"/>
    </row>
    <row r="252" spans="1:19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3"/>
      <c r="R252" s="2"/>
      <c r="S252" s="2"/>
    </row>
    <row r="253" spans="1:19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3"/>
      <c r="R253" s="2"/>
      <c r="S253" s="2"/>
    </row>
    <row r="254" spans="1:19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3"/>
      <c r="R254" s="2"/>
      <c r="S254" s="2"/>
    </row>
    <row r="255" spans="1:19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3"/>
      <c r="R255" s="2"/>
      <c r="S255" s="2"/>
    </row>
    <row r="256" spans="1:19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3"/>
      <c r="R256" s="2"/>
      <c r="S256" s="2"/>
    </row>
    <row r="257" spans="1:19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3"/>
      <c r="R257" s="2"/>
      <c r="S257" s="2"/>
    </row>
    <row r="258" spans="1:19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3"/>
      <c r="R258" s="2"/>
      <c r="S258" s="2"/>
    </row>
    <row r="259" spans="1:19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3"/>
      <c r="R259" s="2"/>
      <c r="S259" s="2"/>
    </row>
    <row r="260" spans="1:19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3"/>
      <c r="R260" s="2"/>
      <c r="S260" s="2"/>
    </row>
    <row r="261" spans="1:19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3"/>
      <c r="R261" s="2"/>
      <c r="S261" s="2"/>
    </row>
    <row r="262" spans="1:19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3"/>
      <c r="R262" s="2"/>
      <c r="S262" s="2"/>
    </row>
    <row r="263" spans="1:19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3"/>
      <c r="R263" s="2"/>
      <c r="S263" s="2"/>
    </row>
    <row r="264" spans="1:19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3"/>
      <c r="R264" s="2"/>
      <c r="S264" s="2"/>
    </row>
    <row r="265" spans="1:19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3"/>
      <c r="R265" s="2"/>
      <c r="S265" s="2"/>
    </row>
    <row r="266" spans="1:19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3"/>
      <c r="R266" s="2"/>
      <c r="S266" s="2"/>
    </row>
    <row r="267" spans="1:19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3"/>
      <c r="R267" s="2"/>
      <c r="S267" s="2"/>
    </row>
    <row r="268" spans="1:19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3"/>
      <c r="R268" s="2"/>
      <c r="S268" s="2"/>
    </row>
    <row r="269" spans="1:19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3"/>
      <c r="R269" s="2"/>
      <c r="S269" s="2"/>
    </row>
    <row r="270" spans="1:19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3"/>
      <c r="R270" s="2"/>
      <c r="S270" s="2"/>
    </row>
    <row r="271" spans="1:19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3"/>
      <c r="R271" s="2"/>
      <c r="S271" s="2"/>
    </row>
    <row r="272" spans="1:19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3"/>
      <c r="R272" s="2"/>
      <c r="S272" s="2"/>
    </row>
    <row r="273" spans="1:19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3"/>
      <c r="R273" s="2"/>
      <c r="S273" s="2"/>
    </row>
    <row r="274" spans="1:19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3"/>
      <c r="R274" s="2"/>
      <c r="S274" s="2"/>
    </row>
    <row r="275" spans="1:19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3"/>
      <c r="R275" s="2"/>
      <c r="S275" s="2"/>
    </row>
    <row r="276" spans="1:19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3"/>
      <c r="R276" s="2"/>
      <c r="S276" s="2"/>
    </row>
    <row r="277" spans="1:19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3"/>
      <c r="R277" s="2"/>
      <c r="S277" s="2"/>
    </row>
    <row r="278" spans="1:19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3"/>
      <c r="R278" s="2"/>
      <c r="S278" s="2"/>
    </row>
    <row r="279" spans="1:19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3"/>
      <c r="R279" s="2"/>
      <c r="S279" s="2"/>
    </row>
    <row r="280" spans="1:19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3"/>
      <c r="R280" s="2"/>
      <c r="S280" s="2"/>
    </row>
    <row r="281" spans="1:19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3"/>
      <c r="R281" s="2"/>
      <c r="S281" s="2"/>
    </row>
    <row r="282" spans="1:19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3"/>
      <c r="R282" s="2"/>
      <c r="S282" s="2"/>
    </row>
    <row r="283" spans="1:19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3"/>
      <c r="R283" s="2"/>
      <c r="S283" s="2"/>
    </row>
    <row r="284" spans="1:19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3"/>
      <c r="R284" s="2"/>
      <c r="S284" s="2"/>
    </row>
    <row r="285" spans="1:19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3"/>
      <c r="R285" s="2"/>
      <c r="S285" s="2"/>
    </row>
    <row r="286" spans="1:19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3"/>
      <c r="R286" s="2"/>
      <c r="S286" s="2"/>
    </row>
    <row r="287" spans="1:19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3"/>
      <c r="R287" s="2"/>
      <c r="S287" s="2"/>
    </row>
    <row r="288" spans="1:19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3"/>
      <c r="R288" s="2"/>
      <c r="S288" s="2"/>
    </row>
    <row r="289" spans="1:19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3"/>
      <c r="R289" s="2"/>
      <c r="S289" s="2"/>
    </row>
    <row r="290" spans="1:19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3"/>
      <c r="R290" s="2"/>
      <c r="S290" s="2"/>
    </row>
    <row r="291" spans="1:19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3"/>
      <c r="R291" s="2"/>
      <c r="S291" s="2"/>
    </row>
    <row r="292" spans="1:19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3"/>
      <c r="R292" s="2"/>
      <c r="S292" s="2"/>
    </row>
    <row r="293" spans="1:19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3"/>
      <c r="R293" s="2"/>
      <c r="S293" s="2"/>
    </row>
    <row r="294" spans="1:19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3"/>
      <c r="R294" s="2"/>
      <c r="S294" s="2"/>
    </row>
    <row r="295" spans="1:19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3"/>
      <c r="R295" s="2"/>
      <c r="S295" s="2"/>
    </row>
    <row r="296" spans="1:19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3"/>
      <c r="R296" s="2"/>
      <c r="S296" s="2"/>
    </row>
    <row r="297" spans="1:19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3"/>
      <c r="R297" s="2"/>
      <c r="S297" s="2"/>
    </row>
    <row r="298" spans="1:19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3"/>
      <c r="R298" s="2"/>
      <c r="S298" s="2"/>
    </row>
    <row r="299" spans="1:19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3"/>
      <c r="R299" s="2"/>
      <c r="S299" s="2"/>
    </row>
    <row r="300" spans="1:19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3"/>
      <c r="R300" s="2"/>
      <c r="S300" s="2"/>
    </row>
    <row r="301" spans="1:19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3"/>
      <c r="R301" s="2"/>
      <c r="S301" s="2"/>
    </row>
    <row r="302" spans="1:19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3"/>
      <c r="R302" s="2"/>
      <c r="S302" s="2"/>
    </row>
    <row r="303" spans="1:19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3"/>
      <c r="R303" s="2"/>
      <c r="S303" s="2"/>
    </row>
    <row r="304" spans="1:19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3"/>
      <c r="R304" s="2"/>
      <c r="S304" s="2"/>
    </row>
    <row r="305" spans="1:19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3"/>
      <c r="R305" s="2"/>
      <c r="S305" s="2"/>
    </row>
    <row r="306" spans="1:19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3"/>
      <c r="R306" s="2"/>
      <c r="S306" s="2"/>
    </row>
    <row r="307" spans="1:19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3"/>
      <c r="R307" s="2"/>
      <c r="S307" s="2"/>
    </row>
    <row r="308" spans="1:19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3"/>
      <c r="R308" s="2"/>
      <c r="S308" s="2"/>
    </row>
    <row r="309" spans="1:19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3"/>
      <c r="R309" s="2"/>
      <c r="S309" s="2"/>
    </row>
    <row r="310" spans="1:19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3"/>
      <c r="R310" s="2"/>
      <c r="S310" s="2"/>
    </row>
    <row r="311" spans="1:19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3"/>
      <c r="R311" s="2"/>
      <c r="S311" s="2"/>
    </row>
    <row r="312" spans="1:19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3"/>
      <c r="R312" s="2"/>
      <c r="S312" s="2"/>
    </row>
    <row r="313" spans="1:19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3"/>
      <c r="R313" s="2"/>
      <c r="S313" s="2"/>
    </row>
    <row r="314" spans="1:19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3"/>
      <c r="R314" s="2"/>
      <c r="S314" s="2"/>
    </row>
    <row r="315" spans="1:19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3"/>
      <c r="R315" s="2"/>
      <c r="S315" s="2"/>
    </row>
    <row r="316" spans="1:19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3"/>
      <c r="R316" s="2"/>
      <c r="S316" s="2"/>
    </row>
    <row r="317" spans="1:19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3"/>
      <c r="R317" s="2"/>
      <c r="S317" s="2"/>
    </row>
    <row r="318" spans="1:19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3"/>
      <c r="R318" s="2"/>
      <c r="S318" s="2"/>
    </row>
    <row r="319" spans="1:19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3"/>
      <c r="R319" s="2"/>
      <c r="S319" s="2"/>
    </row>
    <row r="320" spans="1:19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3"/>
      <c r="R320" s="2"/>
      <c r="S320" s="2"/>
    </row>
    <row r="321" spans="1:19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3"/>
      <c r="R321" s="2"/>
      <c r="S321" s="2"/>
    </row>
    <row r="322" spans="1:19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3"/>
      <c r="R322" s="2"/>
      <c r="S322" s="2"/>
    </row>
    <row r="323" spans="1:19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3"/>
      <c r="R323" s="2"/>
      <c r="S323" s="2"/>
    </row>
    <row r="324" spans="1:19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3"/>
      <c r="R324" s="2"/>
      <c r="S324" s="2"/>
    </row>
    <row r="325" spans="1:19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3"/>
      <c r="R325" s="2"/>
      <c r="S325" s="2"/>
    </row>
    <row r="326" spans="1:19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3"/>
      <c r="R326" s="2"/>
      <c r="S326" s="2"/>
    </row>
    <row r="327" spans="1:19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3"/>
      <c r="R327" s="2"/>
      <c r="S327" s="2"/>
    </row>
    <row r="328" spans="1:19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3"/>
      <c r="R328" s="2"/>
      <c r="S328" s="2"/>
    </row>
    <row r="329" spans="1:19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3"/>
      <c r="R329" s="2"/>
      <c r="S329" s="2"/>
    </row>
    <row r="330" spans="1:19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3"/>
      <c r="R330" s="2"/>
      <c r="S330" s="2"/>
    </row>
  </sheetData>
  <mergeCells count="6">
    <mergeCell ref="V38:Z38"/>
    <mergeCell ref="Q38:U38"/>
    <mergeCell ref="A4:C4"/>
    <mergeCell ref="D4:F4"/>
    <mergeCell ref="I4:J4"/>
    <mergeCell ref="I6:J6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3" sqref="E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</cp:lastModifiedBy>
  <dcterms:created xsi:type="dcterms:W3CDTF">2018-02-24T20:17:13Z</dcterms:created>
  <dcterms:modified xsi:type="dcterms:W3CDTF">2018-08-31T15:09:11Z</dcterms:modified>
</cp:coreProperties>
</file>